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21075" windowHeight="10035"/>
  </bookViews>
  <sheets>
    <sheet name="2010_Litigative" sheetId="1" r:id="rId1"/>
    <sheet name="2010 Administrative" sheetId="2" r:id="rId2"/>
  </sheets>
  <definedNames>
    <definedName name="_xlnm._FilterDatabase" localSheetId="1" hidden="1">'2010 Administrative'!$A$5:$S$3189</definedName>
    <definedName name="_xlnm._FilterDatabase" localSheetId="0" hidden="1">'2010_Litigative'!$A$5:$S$2555</definedName>
  </definedNames>
  <calcPr calcId="145621"/>
</workbook>
</file>

<file path=xl/calcChain.xml><?xml version="1.0" encoding="utf-8"?>
<calcChain xmlns="http://schemas.openxmlformats.org/spreadsheetml/2006/main">
  <c r="E3189" i="2" l="1"/>
  <c r="E3188" i="2"/>
  <c r="E3187" i="2"/>
  <c r="E3186" i="2"/>
  <c r="E3185" i="2"/>
  <c r="E3184" i="2"/>
  <c r="E3183" i="2"/>
  <c r="E3182" i="2"/>
  <c r="E3181" i="2"/>
  <c r="E3180" i="2"/>
  <c r="E3179" i="2"/>
  <c r="E3178" i="2"/>
  <c r="E3177" i="2"/>
  <c r="E3176" i="2"/>
  <c r="E3175" i="2"/>
  <c r="E3174" i="2"/>
  <c r="E3173" i="2"/>
  <c r="E3172" i="2"/>
  <c r="E3171" i="2"/>
  <c r="E3170" i="2"/>
  <c r="E3169" i="2"/>
  <c r="E3168" i="2"/>
  <c r="E3167" i="2"/>
  <c r="E3166" i="2"/>
  <c r="E3165" i="2"/>
  <c r="E3164" i="2"/>
  <c r="E3163" i="2"/>
  <c r="E3162" i="2"/>
  <c r="E3161" i="2"/>
  <c r="E3160" i="2"/>
  <c r="E3159" i="2"/>
  <c r="E3158" i="2"/>
  <c r="E3157" i="2"/>
  <c r="E3156" i="2"/>
  <c r="E3155" i="2"/>
  <c r="E3154" i="2"/>
  <c r="E3153" i="2"/>
  <c r="E3152" i="2"/>
  <c r="E3151" i="2"/>
  <c r="E3150" i="2"/>
  <c r="E3149" i="2"/>
  <c r="E3148" i="2"/>
  <c r="E3147" i="2"/>
  <c r="E3146" i="2"/>
  <c r="E3145" i="2"/>
  <c r="E3144" i="2"/>
  <c r="E3143" i="2"/>
  <c r="E3142" i="2"/>
  <c r="E3141" i="2"/>
  <c r="E3140" i="2"/>
  <c r="E3139" i="2"/>
  <c r="E3138" i="2"/>
  <c r="E3137" i="2"/>
  <c r="E3136" i="2"/>
  <c r="E3135" i="2"/>
  <c r="E3134" i="2"/>
  <c r="E3133" i="2"/>
  <c r="E3132" i="2"/>
  <c r="E3131" i="2"/>
  <c r="E3130" i="2"/>
  <c r="E3129" i="2"/>
  <c r="E3128" i="2"/>
  <c r="E3127" i="2"/>
  <c r="E3126" i="2"/>
  <c r="E3125" i="2"/>
  <c r="E3124" i="2"/>
  <c r="E3123" i="2"/>
  <c r="E3122" i="2"/>
  <c r="E3121" i="2"/>
  <c r="E3120" i="2"/>
  <c r="E3119" i="2"/>
  <c r="E3118" i="2"/>
  <c r="E3117" i="2"/>
  <c r="E3116" i="2"/>
  <c r="E3115" i="2"/>
  <c r="E3114" i="2"/>
  <c r="E3113" i="2"/>
  <c r="E3112" i="2"/>
  <c r="E3111" i="2"/>
  <c r="E3110" i="2"/>
  <c r="E3109" i="2"/>
  <c r="E3108" i="2"/>
  <c r="E3107" i="2"/>
  <c r="E3106" i="2"/>
  <c r="E3105" i="2"/>
  <c r="E3104" i="2"/>
  <c r="E3103" i="2"/>
  <c r="E3102" i="2"/>
  <c r="E3101" i="2"/>
  <c r="E3100" i="2"/>
  <c r="E3099" i="2"/>
  <c r="E3098" i="2"/>
  <c r="E3097" i="2"/>
  <c r="E3096" i="2"/>
  <c r="E3095" i="2"/>
  <c r="E3094" i="2"/>
  <c r="E3093" i="2"/>
  <c r="E3092" i="2"/>
  <c r="E3091" i="2"/>
  <c r="E3090" i="2"/>
  <c r="E3089" i="2"/>
  <c r="E3088" i="2"/>
  <c r="E3087" i="2"/>
  <c r="E3086" i="2"/>
  <c r="E3085" i="2"/>
  <c r="E3084" i="2"/>
  <c r="E3083" i="2"/>
  <c r="E3082" i="2"/>
  <c r="E3081" i="2"/>
  <c r="E3080" i="2"/>
  <c r="E3079" i="2"/>
  <c r="E3078" i="2"/>
  <c r="E3077" i="2"/>
  <c r="E3076" i="2"/>
  <c r="E3075" i="2"/>
  <c r="E3074" i="2"/>
  <c r="E3073" i="2"/>
  <c r="E3072" i="2"/>
  <c r="E3071" i="2"/>
  <c r="E3070" i="2"/>
  <c r="E3069" i="2"/>
  <c r="E3068" i="2"/>
  <c r="E3067" i="2"/>
  <c r="E3066" i="2"/>
  <c r="E3065" i="2"/>
  <c r="E3064" i="2"/>
  <c r="E3063" i="2"/>
  <c r="E3062" i="2"/>
  <c r="E3061" i="2"/>
  <c r="E3060" i="2"/>
  <c r="E3059" i="2"/>
  <c r="E3058" i="2"/>
  <c r="E3057" i="2"/>
  <c r="E3056" i="2"/>
  <c r="E3055" i="2"/>
  <c r="E3054" i="2"/>
  <c r="E3053" i="2"/>
  <c r="E3052" i="2"/>
  <c r="E3051" i="2"/>
  <c r="E3050" i="2"/>
  <c r="E3049" i="2"/>
  <c r="E3048" i="2"/>
  <c r="E3047" i="2"/>
  <c r="E3046" i="2"/>
  <c r="E3045" i="2"/>
  <c r="E3044" i="2"/>
  <c r="E3043" i="2"/>
  <c r="E3042" i="2"/>
  <c r="E3041" i="2"/>
  <c r="E3040" i="2"/>
  <c r="E3039" i="2"/>
  <c r="E3038" i="2"/>
  <c r="E3037" i="2"/>
  <c r="E3036" i="2"/>
  <c r="E3035" i="2"/>
  <c r="E3034" i="2"/>
  <c r="E3033" i="2"/>
  <c r="E3032" i="2"/>
  <c r="E3031" i="2"/>
  <c r="E3030" i="2"/>
  <c r="E3029" i="2"/>
  <c r="E3028" i="2"/>
  <c r="E3027" i="2"/>
  <c r="E3026" i="2"/>
  <c r="E3025" i="2"/>
  <c r="E3024" i="2"/>
  <c r="E3023" i="2"/>
  <c r="E3022" i="2"/>
  <c r="E3021" i="2"/>
  <c r="E3020" i="2"/>
  <c r="E3019" i="2"/>
  <c r="E3018" i="2"/>
  <c r="E3017" i="2"/>
  <c r="E3016" i="2"/>
  <c r="E3015" i="2"/>
  <c r="E3014" i="2"/>
  <c r="E3013" i="2"/>
  <c r="E3012" i="2"/>
  <c r="E3011" i="2"/>
  <c r="E3010" i="2"/>
  <c r="E3009" i="2"/>
  <c r="E3008" i="2"/>
  <c r="E3007" i="2"/>
  <c r="E3006" i="2"/>
  <c r="E3005" i="2"/>
  <c r="E3004" i="2"/>
  <c r="E3003" i="2"/>
  <c r="E3002" i="2"/>
  <c r="E3001" i="2"/>
  <c r="E3000" i="2"/>
  <c r="E2999" i="2"/>
  <c r="E2998" i="2"/>
  <c r="E2997" i="2"/>
  <c r="E2996" i="2"/>
  <c r="E2995" i="2"/>
  <c r="E2994" i="2"/>
  <c r="E2993" i="2"/>
  <c r="E2992" i="2"/>
  <c r="E2991" i="2"/>
  <c r="E2990" i="2"/>
  <c r="E2989" i="2"/>
  <c r="E2988" i="2"/>
  <c r="E2987" i="2"/>
  <c r="E2986" i="2"/>
  <c r="E2985" i="2"/>
  <c r="E2984" i="2"/>
  <c r="E2983" i="2"/>
  <c r="E2982" i="2"/>
  <c r="E2981" i="2"/>
  <c r="E2980" i="2"/>
  <c r="E2979" i="2"/>
  <c r="E2978" i="2"/>
  <c r="E2977" i="2"/>
  <c r="E2976" i="2"/>
  <c r="E2975" i="2"/>
  <c r="E2974" i="2"/>
  <c r="E2973" i="2"/>
  <c r="E2972" i="2"/>
  <c r="E2971" i="2"/>
  <c r="E2970" i="2"/>
  <c r="E2969" i="2"/>
  <c r="E2968" i="2"/>
  <c r="E2967" i="2"/>
  <c r="E2966" i="2"/>
  <c r="E2965" i="2"/>
  <c r="E2964" i="2"/>
  <c r="E2963" i="2"/>
  <c r="E2962" i="2"/>
  <c r="E2961" i="2"/>
  <c r="E2960" i="2"/>
  <c r="E2959" i="2"/>
  <c r="E2958" i="2"/>
  <c r="E2957" i="2"/>
  <c r="E2956" i="2"/>
  <c r="E2955" i="2"/>
  <c r="E2954" i="2"/>
  <c r="E2953" i="2"/>
  <c r="E2952" i="2"/>
  <c r="E2951" i="2"/>
  <c r="E2950" i="2"/>
  <c r="E2949" i="2"/>
  <c r="E2948" i="2"/>
  <c r="E2947" i="2"/>
  <c r="E2946" i="2"/>
  <c r="E2945" i="2"/>
  <c r="E2944" i="2"/>
  <c r="E2943" i="2"/>
  <c r="E2942" i="2"/>
  <c r="E2941" i="2"/>
  <c r="E2940" i="2"/>
  <c r="E2939" i="2"/>
  <c r="E2938" i="2"/>
  <c r="E2937" i="2"/>
  <c r="E2936" i="2"/>
  <c r="E2935" i="2"/>
  <c r="E2934" i="2"/>
  <c r="E2933" i="2"/>
  <c r="E2932" i="2"/>
  <c r="E2931" i="2"/>
  <c r="E2930" i="2"/>
  <c r="E2929" i="2"/>
  <c r="E2928" i="2"/>
  <c r="E2927" i="2"/>
  <c r="E2926" i="2"/>
  <c r="E2925" i="2"/>
  <c r="E2924" i="2"/>
  <c r="E2923" i="2"/>
  <c r="E2922" i="2"/>
  <c r="E2921" i="2"/>
  <c r="E2920" i="2"/>
  <c r="E2919" i="2"/>
  <c r="E2918" i="2"/>
  <c r="E2917" i="2"/>
  <c r="E2916" i="2"/>
  <c r="E2915" i="2"/>
  <c r="E2914" i="2"/>
  <c r="E2913" i="2"/>
  <c r="E2912" i="2"/>
  <c r="E2911" i="2"/>
  <c r="E2910" i="2"/>
  <c r="E2909" i="2"/>
  <c r="E2908" i="2"/>
  <c r="E2907" i="2"/>
  <c r="E2906" i="2"/>
  <c r="E2905" i="2"/>
  <c r="E2904" i="2"/>
  <c r="E2903" i="2"/>
  <c r="E2902" i="2"/>
  <c r="E2901" i="2"/>
  <c r="E2900" i="2"/>
  <c r="E2899" i="2"/>
  <c r="E2898" i="2"/>
  <c r="E2897" i="2"/>
  <c r="E2896" i="2"/>
  <c r="E2895" i="2"/>
  <c r="E2894" i="2"/>
  <c r="E2893" i="2"/>
  <c r="E2892" i="2"/>
  <c r="E2891" i="2"/>
  <c r="E2890" i="2"/>
  <c r="E2889" i="2"/>
  <c r="E2888" i="2"/>
  <c r="E2887" i="2"/>
  <c r="E2886" i="2"/>
  <c r="E2885" i="2"/>
  <c r="E2884" i="2"/>
  <c r="E2883" i="2"/>
  <c r="E2882" i="2"/>
  <c r="E2881" i="2"/>
  <c r="E2880" i="2"/>
  <c r="E2879" i="2"/>
  <c r="E2878" i="2"/>
  <c r="E2877" i="2"/>
  <c r="E2876" i="2"/>
  <c r="E2875" i="2"/>
  <c r="E2874" i="2"/>
  <c r="E2873" i="2"/>
  <c r="E2872" i="2"/>
  <c r="E2871" i="2"/>
  <c r="E2870" i="2"/>
  <c r="E2869" i="2"/>
  <c r="E2868" i="2"/>
  <c r="E2867" i="2"/>
  <c r="E2866" i="2"/>
  <c r="E2865" i="2"/>
  <c r="E2864" i="2"/>
  <c r="E2863" i="2"/>
  <c r="E2862" i="2"/>
  <c r="E2861" i="2"/>
  <c r="E2860" i="2"/>
  <c r="E2859" i="2"/>
  <c r="E2858" i="2"/>
  <c r="E2857" i="2"/>
  <c r="E2856" i="2"/>
  <c r="E2855" i="2"/>
  <c r="E2854" i="2"/>
  <c r="E2853" i="2"/>
  <c r="E2852" i="2"/>
  <c r="E2851" i="2"/>
  <c r="E2850" i="2"/>
  <c r="E2849" i="2"/>
  <c r="E2848" i="2"/>
  <c r="E2847" i="2"/>
  <c r="E2846" i="2"/>
  <c r="E2845" i="2"/>
  <c r="E2844" i="2"/>
  <c r="E2843" i="2"/>
  <c r="E2842" i="2"/>
  <c r="E2841" i="2"/>
  <c r="E2840" i="2"/>
  <c r="E2839" i="2"/>
  <c r="E2838" i="2"/>
  <c r="E2837" i="2"/>
  <c r="E2836" i="2"/>
  <c r="E2835" i="2"/>
  <c r="E2834" i="2"/>
  <c r="E2833" i="2"/>
  <c r="E2832" i="2"/>
  <c r="E2831" i="2"/>
  <c r="E2830" i="2"/>
  <c r="E2829" i="2"/>
  <c r="E2828" i="2"/>
  <c r="E2827" i="2"/>
  <c r="E2826" i="2"/>
  <c r="E2825" i="2"/>
  <c r="E2824" i="2"/>
  <c r="E2823" i="2"/>
  <c r="E2822" i="2"/>
  <c r="E2821" i="2"/>
  <c r="E2820" i="2"/>
  <c r="E2819" i="2"/>
  <c r="E2818" i="2"/>
  <c r="E2817" i="2"/>
  <c r="E2816" i="2"/>
  <c r="E2815" i="2"/>
  <c r="E2814" i="2"/>
  <c r="E2813" i="2"/>
  <c r="E2812" i="2"/>
  <c r="E2811" i="2"/>
  <c r="E2810" i="2"/>
  <c r="E2809" i="2"/>
  <c r="E2808" i="2"/>
  <c r="E2807" i="2"/>
  <c r="E2806" i="2"/>
  <c r="E2805" i="2"/>
  <c r="E2804" i="2"/>
  <c r="E2803" i="2"/>
  <c r="E2802" i="2"/>
  <c r="E2801" i="2"/>
  <c r="E2800" i="2"/>
  <c r="E2799" i="2"/>
  <c r="E2798" i="2"/>
  <c r="E2797" i="2"/>
  <c r="E2796" i="2"/>
  <c r="E2795" i="2"/>
  <c r="E2794" i="2"/>
  <c r="E2793" i="2"/>
  <c r="E2792" i="2"/>
  <c r="E2791" i="2"/>
  <c r="E2790" i="2"/>
  <c r="E2789" i="2"/>
  <c r="E2788" i="2"/>
  <c r="E2787" i="2"/>
  <c r="E2786" i="2"/>
  <c r="E2785" i="2"/>
  <c r="E2784" i="2"/>
  <c r="E2783" i="2"/>
  <c r="E2782" i="2"/>
  <c r="E2781" i="2"/>
  <c r="E2780" i="2"/>
  <c r="E2779" i="2"/>
  <c r="E2778" i="2"/>
  <c r="E2777" i="2"/>
  <c r="E2776" i="2"/>
  <c r="E2775" i="2"/>
  <c r="E2774" i="2"/>
  <c r="E2773" i="2"/>
  <c r="E2772" i="2"/>
  <c r="E2771" i="2"/>
  <c r="E2770" i="2"/>
  <c r="E2769" i="2"/>
  <c r="E2768" i="2"/>
  <c r="E2767" i="2"/>
  <c r="E2766" i="2"/>
  <c r="E2765" i="2"/>
  <c r="E2764" i="2"/>
  <c r="E2763" i="2"/>
  <c r="E2762" i="2"/>
  <c r="E2761" i="2"/>
  <c r="E2760" i="2"/>
  <c r="E2759" i="2"/>
  <c r="E2758" i="2"/>
  <c r="E2757" i="2"/>
  <c r="E2756" i="2"/>
  <c r="E2755" i="2"/>
  <c r="E2754" i="2"/>
  <c r="E2753" i="2"/>
  <c r="E2752" i="2"/>
  <c r="E2751" i="2"/>
  <c r="E2750" i="2"/>
  <c r="E2749" i="2"/>
  <c r="E2748" i="2"/>
  <c r="E2747" i="2"/>
  <c r="E2746" i="2"/>
  <c r="E2745" i="2"/>
  <c r="E2744" i="2"/>
  <c r="E2743" i="2"/>
  <c r="E2742" i="2"/>
  <c r="E2741" i="2"/>
  <c r="E2740" i="2"/>
  <c r="E2739" i="2"/>
  <c r="E2738" i="2"/>
  <c r="E2737" i="2"/>
  <c r="E2736" i="2"/>
  <c r="E2735" i="2"/>
  <c r="E2734" i="2"/>
  <c r="E2733" i="2"/>
  <c r="E2732" i="2"/>
  <c r="E2731" i="2"/>
  <c r="E2730" i="2"/>
  <c r="E2729" i="2"/>
  <c r="E2728" i="2"/>
  <c r="E2727" i="2"/>
  <c r="E2726" i="2"/>
  <c r="E2725" i="2"/>
  <c r="E2724" i="2"/>
  <c r="E2723" i="2"/>
  <c r="E2722" i="2"/>
  <c r="E2721" i="2"/>
  <c r="E2720" i="2"/>
  <c r="E2719" i="2"/>
  <c r="E2718" i="2"/>
  <c r="E2717" i="2"/>
  <c r="E2716" i="2"/>
  <c r="E2715" i="2"/>
  <c r="E2714" i="2"/>
  <c r="E2713" i="2"/>
  <c r="E2712" i="2"/>
  <c r="E2711" i="2"/>
  <c r="E2710" i="2"/>
  <c r="E2709" i="2"/>
  <c r="E2708" i="2"/>
  <c r="E2707" i="2"/>
  <c r="E2706" i="2"/>
  <c r="E2705" i="2"/>
  <c r="E2704" i="2"/>
  <c r="E2703" i="2"/>
  <c r="E2702" i="2"/>
  <c r="E2701" i="2"/>
  <c r="E2700" i="2"/>
  <c r="E2699" i="2"/>
  <c r="E2698" i="2"/>
  <c r="E2697" i="2"/>
  <c r="E2696" i="2"/>
  <c r="E2695" i="2"/>
  <c r="E2694" i="2"/>
  <c r="E2693" i="2"/>
  <c r="E2692" i="2"/>
  <c r="E2691" i="2"/>
  <c r="E2690" i="2"/>
  <c r="E2689" i="2"/>
  <c r="E2688" i="2"/>
  <c r="E2687" i="2"/>
  <c r="E2686" i="2"/>
  <c r="E2685" i="2"/>
  <c r="E2684" i="2"/>
  <c r="E2683" i="2"/>
  <c r="E2682" i="2"/>
  <c r="E2681" i="2"/>
  <c r="E2680" i="2"/>
  <c r="E2679" i="2"/>
  <c r="E2678" i="2"/>
  <c r="E2677" i="2"/>
  <c r="E2676" i="2"/>
  <c r="E2675" i="2"/>
  <c r="E2674" i="2"/>
  <c r="E2673" i="2"/>
  <c r="E2672" i="2"/>
  <c r="E2671" i="2"/>
  <c r="E2670" i="2"/>
  <c r="E2669" i="2"/>
  <c r="E2668" i="2"/>
  <c r="E2667" i="2"/>
  <c r="E2666" i="2"/>
  <c r="E2665" i="2"/>
  <c r="E2664" i="2"/>
  <c r="E2663" i="2"/>
  <c r="E2662" i="2"/>
  <c r="E2661" i="2"/>
  <c r="E2660" i="2"/>
  <c r="E2659" i="2"/>
  <c r="E2658" i="2"/>
  <c r="E2657" i="2"/>
  <c r="E2656" i="2"/>
  <c r="E2655" i="2"/>
  <c r="E2654" i="2"/>
  <c r="E2653" i="2"/>
  <c r="E2652" i="2"/>
  <c r="E2651" i="2"/>
  <c r="E2650" i="2"/>
  <c r="E2649" i="2"/>
  <c r="E2648" i="2"/>
  <c r="E2647" i="2"/>
  <c r="E2646" i="2"/>
  <c r="E2645" i="2"/>
  <c r="E2644" i="2"/>
  <c r="E2643" i="2"/>
  <c r="E2642" i="2"/>
  <c r="E2641" i="2"/>
  <c r="E2640" i="2"/>
  <c r="E2639" i="2"/>
  <c r="E2638" i="2"/>
  <c r="E2637" i="2"/>
  <c r="E2636" i="2"/>
  <c r="E2635" i="2"/>
  <c r="E2634" i="2"/>
  <c r="E2633" i="2"/>
  <c r="E2632" i="2"/>
  <c r="E2631" i="2"/>
  <c r="E2630" i="2"/>
  <c r="E2629" i="2"/>
  <c r="E2628" i="2"/>
  <c r="E2627" i="2"/>
  <c r="E2626" i="2"/>
  <c r="E2625" i="2"/>
  <c r="E2624" i="2"/>
  <c r="E2623" i="2"/>
  <c r="E2622" i="2"/>
  <c r="E2621" i="2"/>
  <c r="E2620" i="2"/>
  <c r="E2619" i="2"/>
  <c r="E2618" i="2"/>
  <c r="E2617" i="2"/>
  <c r="E2616" i="2"/>
  <c r="E2615" i="2"/>
  <c r="E2614" i="2"/>
  <c r="E2613" i="2"/>
  <c r="E2612" i="2"/>
  <c r="E2611" i="2"/>
  <c r="E2610" i="2"/>
  <c r="E2609" i="2"/>
  <c r="E2608" i="2"/>
  <c r="E2607" i="2"/>
  <c r="E2606" i="2"/>
  <c r="E2605" i="2"/>
  <c r="E2604" i="2"/>
  <c r="E2603" i="2"/>
  <c r="E2602" i="2"/>
  <c r="E2601" i="2"/>
  <c r="E2600" i="2"/>
  <c r="E2599" i="2"/>
  <c r="E2598" i="2"/>
  <c r="E2597" i="2"/>
  <c r="E2596" i="2"/>
  <c r="E2595" i="2"/>
  <c r="E2594" i="2"/>
  <c r="E2593" i="2"/>
  <c r="E2592" i="2"/>
  <c r="E2591" i="2"/>
  <c r="E2590" i="2"/>
  <c r="E2589" i="2"/>
  <c r="E2588" i="2"/>
  <c r="E2587" i="2"/>
  <c r="E2586" i="2"/>
  <c r="E2585" i="2"/>
  <c r="E2584" i="2"/>
  <c r="E2583" i="2"/>
  <c r="E2582" i="2"/>
  <c r="E2581" i="2"/>
  <c r="E2580" i="2"/>
  <c r="E2579" i="2"/>
  <c r="E2578" i="2"/>
  <c r="E2577" i="2"/>
  <c r="E2576" i="2"/>
  <c r="E2575" i="2"/>
  <c r="E2574" i="2"/>
  <c r="E2573" i="2"/>
  <c r="E2572" i="2"/>
  <c r="E2571" i="2"/>
  <c r="E2570" i="2"/>
  <c r="E2569" i="2"/>
  <c r="E2568" i="2"/>
  <c r="E2567" i="2"/>
  <c r="E2566" i="2"/>
  <c r="E2565" i="2"/>
  <c r="E2564" i="2"/>
  <c r="E2563" i="2"/>
  <c r="E2562" i="2"/>
  <c r="E2561" i="2"/>
  <c r="E2560" i="2"/>
  <c r="E2559" i="2"/>
  <c r="E2558" i="2"/>
  <c r="E2557" i="2"/>
  <c r="E2556" i="2"/>
  <c r="E2555" i="2"/>
  <c r="E2554" i="2"/>
  <c r="E2553" i="2"/>
  <c r="E2552" i="2"/>
  <c r="E2551" i="2"/>
  <c r="E2550" i="2"/>
  <c r="E2549" i="2"/>
  <c r="E2548" i="2"/>
  <c r="E2547" i="2"/>
  <c r="E2546" i="2"/>
  <c r="E2545" i="2"/>
  <c r="E2544" i="2"/>
  <c r="E2543" i="2"/>
  <c r="E2542" i="2"/>
  <c r="E2541" i="2"/>
  <c r="E2540" i="2"/>
  <c r="E2539" i="2"/>
  <c r="E2538" i="2"/>
  <c r="E2537" i="2"/>
  <c r="E2536" i="2"/>
  <c r="E2535" i="2"/>
  <c r="E2534" i="2"/>
  <c r="E2533" i="2"/>
  <c r="E2532" i="2"/>
  <c r="E2531" i="2"/>
  <c r="E2530" i="2"/>
  <c r="E2529" i="2"/>
  <c r="E2528" i="2"/>
  <c r="E2527" i="2"/>
  <c r="E2526" i="2"/>
  <c r="E2525" i="2"/>
  <c r="E2524" i="2"/>
  <c r="E2523" i="2"/>
  <c r="E2522" i="2"/>
  <c r="E2521" i="2"/>
  <c r="E2520" i="2"/>
  <c r="E2519" i="2"/>
  <c r="E2518" i="2"/>
  <c r="E2517" i="2"/>
  <c r="E2516" i="2"/>
  <c r="E2515" i="2"/>
  <c r="E2514" i="2"/>
  <c r="E2513" i="2"/>
  <c r="E2512" i="2"/>
  <c r="E2511" i="2"/>
  <c r="E2510" i="2"/>
  <c r="E2509" i="2"/>
  <c r="E2508" i="2"/>
  <c r="E2507" i="2"/>
  <c r="E2506" i="2"/>
  <c r="E2505" i="2"/>
  <c r="E2504" i="2"/>
  <c r="E2503" i="2"/>
  <c r="E2502" i="2"/>
  <c r="E2501" i="2"/>
  <c r="E2500" i="2"/>
  <c r="E2499" i="2"/>
  <c r="E2498" i="2"/>
  <c r="E2497" i="2"/>
  <c r="E2496" i="2"/>
  <c r="E2495" i="2"/>
  <c r="E2494" i="2"/>
  <c r="E2493" i="2"/>
  <c r="E2492" i="2"/>
  <c r="E2491" i="2"/>
  <c r="E2490" i="2"/>
  <c r="E2489" i="2"/>
  <c r="E2488" i="2"/>
  <c r="E2487" i="2"/>
  <c r="E2486" i="2"/>
  <c r="E2485" i="2"/>
  <c r="E2484" i="2"/>
  <c r="E2483" i="2"/>
  <c r="E2482" i="2"/>
  <c r="E2481" i="2"/>
  <c r="E2480" i="2"/>
  <c r="E2479" i="2"/>
  <c r="E2478" i="2"/>
  <c r="E2477" i="2"/>
  <c r="E2476" i="2"/>
  <c r="E2475" i="2"/>
  <c r="E2474" i="2"/>
  <c r="E2473" i="2"/>
  <c r="E2472" i="2"/>
  <c r="E2471" i="2"/>
  <c r="E2470" i="2"/>
  <c r="E2469" i="2"/>
  <c r="E2468" i="2"/>
  <c r="E2467" i="2"/>
  <c r="E2466" i="2"/>
  <c r="E2465" i="2"/>
  <c r="E2464" i="2"/>
  <c r="E2463" i="2"/>
  <c r="E2462" i="2"/>
  <c r="E2461" i="2"/>
  <c r="E2460" i="2"/>
  <c r="E2459" i="2"/>
  <c r="E2458" i="2"/>
  <c r="E2457" i="2"/>
  <c r="E2456" i="2"/>
  <c r="E2455" i="2"/>
  <c r="E2454" i="2"/>
  <c r="E2453" i="2"/>
  <c r="E2452" i="2"/>
  <c r="E2451" i="2"/>
  <c r="E2450" i="2"/>
  <c r="E2449" i="2"/>
  <c r="E2448" i="2"/>
  <c r="E2447" i="2"/>
  <c r="E2446" i="2"/>
  <c r="E2445" i="2"/>
  <c r="E2444" i="2"/>
  <c r="E2443" i="2"/>
  <c r="E2442" i="2"/>
  <c r="E2441" i="2"/>
  <c r="E2440" i="2"/>
  <c r="E2439" i="2"/>
  <c r="E2438" i="2"/>
  <c r="E2437" i="2"/>
  <c r="E2436" i="2"/>
  <c r="E2435" i="2"/>
  <c r="E2434" i="2"/>
  <c r="E2433" i="2"/>
  <c r="E2432" i="2"/>
  <c r="E2431" i="2"/>
  <c r="E2430" i="2"/>
  <c r="E2429" i="2"/>
  <c r="E2428" i="2"/>
  <c r="E2427" i="2"/>
  <c r="E2426" i="2"/>
  <c r="E2425" i="2"/>
  <c r="E2424" i="2"/>
  <c r="E2423" i="2"/>
  <c r="E2422" i="2"/>
  <c r="E2421" i="2"/>
  <c r="E2420" i="2"/>
  <c r="E2419" i="2"/>
  <c r="E2418" i="2"/>
  <c r="E2417" i="2"/>
  <c r="E2416" i="2"/>
  <c r="E2415" i="2"/>
  <c r="E2414" i="2"/>
  <c r="E2413" i="2"/>
  <c r="E2412" i="2"/>
  <c r="E2411" i="2"/>
  <c r="E2410" i="2"/>
  <c r="E2409" i="2"/>
  <c r="E2408" i="2"/>
  <c r="E2407" i="2"/>
  <c r="E2406" i="2"/>
  <c r="E2405" i="2"/>
  <c r="E2404" i="2"/>
  <c r="E2403" i="2"/>
  <c r="E2402" i="2"/>
  <c r="E2401" i="2"/>
  <c r="E2400" i="2"/>
  <c r="E2399" i="2"/>
  <c r="E2398" i="2"/>
  <c r="E2397" i="2"/>
  <c r="E2396" i="2"/>
  <c r="E2395" i="2"/>
  <c r="E2394" i="2"/>
  <c r="E2393" i="2"/>
  <c r="E2392" i="2"/>
  <c r="E2391" i="2"/>
  <c r="E2390" i="2"/>
  <c r="E2389" i="2"/>
  <c r="E2388" i="2"/>
  <c r="E2387" i="2"/>
  <c r="E2386" i="2"/>
  <c r="E2385" i="2"/>
  <c r="E2384" i="2"/>
  <c r="E2383" i="2"/>
  <c r="E2382" i="2"/>
  <c r="E2381" i="2"/>
  <c r="E2380" i="2"/>
  <c r="E2379" i="2"/>
  <c r="E2378" i="2"/>
  <c r="E2377" i="2"/>
  <c r="E2376" i="2"/>
  <c r="E2375" i="2"/>
  <c r="E2374" i="2"/>
  <c r="E2373" i="2"/>
  <c r="E2372" i="2"/>
  <c r="E2371" i="2"/>
  <c r="E2370" i="2"/>
  <c r="E2369" i="2"/>
  <c r="E2368" i="2"/>
  <c r="E2367" i="2"/>
  <c r="E2366" i="2"/>
  <c r="E2365" i="2"/>
  <c r="E2364" i="2"/>
  <c r="E2363" i="2"/>
  <c r="E2362" i="2"/>
  <c r="E2361" i="2"/>
  <c r="E2360" i="2"/>
  <c r="E2359" i="2"/>
  <c r="E2358" i="2"/>
  <c r="E2357" i="2"/>
  <c r="E2356" i="2"/>
  <c r="E2355" i="2"/>
  <c r="E2354" i="2"/>
  <c r="E2353" i="2"/>
  <c r="E2352" i="2"/>
  <c r="E2351" i="2"/>
  <c r="E2350" i="2"/>
  <c r="E2349" i="2"/>
  <c r="E2348" i="2"/>
  <c r="E2347" i="2"/>
  <c r="E2346" i="2"/>
  <c r="E2345" i="2"/>
  <c r="E2344" i="2"/>
  <c r="E2343" i="2"/>
  <c r="E2342" i="2"/>
  <c r="E2341" i="2"/>
  <c r="E2340" i="2"/>
  <c r="E2339" i="2"/>
  <c r="E2338" i="2"/>
  <c r="E2337" i="2"/>
  <c r="E2336" i="2"/>
  <c r="E2335" i="2"/>
  <c r="E2334" i="2"/>
  <c r="E2333" i="2"/>
  <c r="E2332" i="2"/>
  <c r="E2331" i="2"/>
  <c r="E2330" i="2"/>
  <c r="E2329" i="2"/>
  <c r="E2328" i="2"/>
  <c r="E2327" i="2"/>
  <c r="E2326" i="2"/>
  <c r="E2325" i="2"/>
  <c r="E2324" i="2"/>
  <c r="E2323" i="2"/>
  <c r="E2322" i="2"/>
  <c r="E2321" i="2"/>
  <c r="E2320" i="2"/>
  <c r="E2319" i="2"/>
  <c r="E2318" i="2"/>
  <c r="E2317" i="2"/>
  <c r="E2316" i="2"/>
  <c r="E2315" i="2"/>
  <c r="E2314" i="2"/>
  <c r="E2313" i="2"/>
  <c r="E2312" i="2"/>
  <c r="E2311" i="2"/>
  <c r="E2310" i="2"/>
  <c r="E2309" i="2"/>
  <c r="E2308" i="2"/>
  <c r="E2307" i="2"/>
  <c r="E2306" i="2"/>
  <c r="E2305" i="2"/>
  <c r="E2304" i="2"/>
  <c r="E2303" i="2"/>
  <c r="E2302" i="2"/>
  <c r="E2301" i="2"/>
  <c r="E2300" i="2"/>
  <c r="E2299" i="2"/>
  <c r="E2298" i="2"/>
  <c r="E2297" i="2"/>
  <c r="E2296" i="2"/>
  <c r="E2295" i="2"/>
  <c r="E2294" i="2"/>
  <c r="E2293" i="2"/>
  <c r="E2292" i="2"/>
  <c r="E2291" i="2"/>
  <c r="E2290" i="2"/>
  <c r="E2289" i="2"/>
  <c r="E2288" i="2"/>
  <c r="E2287" i="2"/>
  <c r="E2286" i="2"/>
  <c r="E2285" i="2"/>
  <c r="E2284" i="2"/>
  <c r="E2283" i="2"/>
  <c r="E2282" i="2"/>
  <c r="E2281" i="2"/>
  <c r="E2280" i="2"/>
  <c r="E2279" i="2"/>
  <c r="E2278" i="2"/>
  <c r="E2277" i="2"/>
  <c r="E2276" i="2"/>
  <c r="E2275" i="2"/>
  <c r="E2274" i="2"/>
  <c r="E2273" i="2"/>
  <c r="E2272" i="2"/>
  <c r="E2271" i="2"/>
  <c r="E2270" i="2"/>
  <c r="E2269" i="2"/>
  <c r="E2268" i="2"/>
  <c r="E2267" i="2"/>
  <c r="E2266" i="2"/>
  <c r="E2265" i="2"/>
  <c r="E2264" i="2"/>
  <c r="E2263" i="2"/>
  <c r="E2262" i="2"/>
  <c r="E2261" i="2"/>
  <c r="E2260" i="2"/>
  <c r="E2259" i="2"/>
  <c r="E2258" i="2"/>
  <c r="E2257" i="2"/>
  <c r="E2256" i="2"/>
  <c r="E2255" i="2"/>
  <c r="E2254" i="2"/>
  <c r="E2253" i="2"/>
  <c r="E2252" i="2"/>
  <c r="E2251" i="2"/>
  <c r="E2250" i="2"/>
  <c r="E2249" i="2"/>
  <c r="E2248" i="2"/>
  <c r="E2247" i="2"/>
  <c r="E2246" i="2"/>
  <c r="E2245" i="2"/>
  <c r="E2244" i="2"/>
  <c r="E2243" i="2"/>
  <c r="E2242" i="2"/>
  <c r="E2241" i="2"/>
  <c r="E2240" i="2"/>
  <c r="E2239" i="2"/>
  <c r="E2238" i="2"/>
  <c r="E2237" i="2"/>
  <c r="E2236" i="2"/>
  <c r="E2235" i="2"/>
  <c r="E2234" i="2"/>
  <c r="E2233" i="2"/>
  <c r="E2232" i="2"/>
  <c r="E2231" i="2"/>
  <c r="E2230" i="2"/>
  <c r="E2229" i="2"/>
  <c r="E2228" i="2"/>
  <c r="E2227" i="2"/>
  <c r="E2226" i="2"/>
  <c r="E2225" i="2"/>
  <c r="E2224" i="2"/>
  <c r="E2223" i="2"/>
  <c r="E2222" i="2"/>
  <c r="E2221" i="2"/>
  <c r="E2220" i="2"/>
  <c r="E2219" i="2"/>
  <c r="E2218" i="2"/>
  <c r="E2217" i="2"/>
  <c r="E2216" i="2"/>
  <c r="E2215" i="2"/>
  <c r="E2214" i="2"/>
  <c r="E2213" i="2"/>
  <c r="E2212" i="2"/>
  <c r="E2211" i="2"/>
  <c r="E2210" i="2"/>
  <c r="E2209" i="2"/>
  <c r="E2208" i="2"/>
  <c r="E2207" i="2"/>
  <c r="E2206" i="2"/>
  <c r="E2205" i="2"/>
  <c r="E2204" i="2"/>
  <c r="E2203" i="2"/>
  <c r="E2202" i="2"/>
  <c r="E2201" i="2"/>
  <c r="E2200" i="2"/>
  <c r="E2199" i="2"/>
  <c r="E2198" i="2"/>
  <c r="E2197" i="2"/>
  <c r="E2196" i="2"/>
  <c r="E2195" i="2"/>
  <c r="E2194" i="2"/>
  <c r="E2193" i="2"/>
  <c r="E2192" i="2"/>
  <c r="E2191" i="2"/>
  <c r="E2190" i="2"/>
  <c r="E2189" i="2"/>
  <c r="E2188" i="2"/>
  <c r="E2187" i="2"/>
  <c r="E2186" i="2"/>
  <c r="E2185" i="2"/>
  <c r="E2184" i="2"/>
  <c r="E2183" i="2"/>
  <c r="E2182" i="2"/>
  <c r="E2181" i="2"/>
  <c r="E2180" i="2"/>
  <c r="E2179" i="2"/>
  <c r="E2178" i="2"/>
  <c r="E2177" i="2"/>
  <c r="E2176" i="2"/>
  <c r="E2175" i="2"/>
  <c r="E2174" i="2"/>
  <c r="E2173" i="2"/>
  <c r="E2172" i="2"/>
  <c r="E2171" i="2"/>
  <c r="E2170" i="2"/>
  <c r="E2169" i="2"/>
  <c r="E2168" i="2"/>
  <c r="E2167" i="2"/>
  <c r="E2166" i="2"/>
  <c r="E2165" i="2"/>
  <c r="E2164" i="2"/>
  <c r="E2163" i="2"/>
  <c r="E2162" i="2"/>
  <c r="E2161" i="2"/>
  <c r="E2160" i="2"/>
  <c r="E2159" i="2"/>
  <c r="E2158" i="2"/>
  <c r="E2157" i="2"/>
  <c r="E2156" i="2"/>
  <c r="E2155" i="2"/>
  <c r="E2154" i="2"/>
  <c r="E2153" i="2"/>
  <c r="E2152" i="2"/>
  <c r="E2151" i="2"/>
  <c r="E2150" i="2"/>
  <c r="E2149" i="2"/>
  <c r="E2148" i="2"/>
  <c r="E2147" i="2"/>
  <c r="E2146" i="2"/>
  <c r="E2145" i="2"/>
  <c r="E2144" i="2"/>
  <c r="E2143" i="2"/>
  <c r="E2142" i="2"/>
  <c r="E2141" i="2"/>
  <c r="E2140" i="2"/>
  <c r="E2139" i="2"/>
  <c r="E2138" i="2"/>
  <c r="E2137" i="2"/>
  <c r="E2136" i="2"/>
  <c r="E2135" i="2"/>
  <c r="E2134" i="2"/>
  <c r="E2133" i="2"/>
  <c r="E2132" i="2"/>
  <c r="E2131" i="2"/>
  <c r="E2130" i="2"/>
  <c r="E2129" i="2"/>
  <c r="E2128" i="2"/>
  <c r="E2127" i="2"/>
  <c r="E2126" i="2"/>
  <c r="E2125" i="2"/>
  <c r="E2124" i="2"/>
  <c r="E2123" i="2"/>
  <c r="E2122" i="2"/>
  <c r="E2121" i="2"/>
  <c r="E2120" i="2"/>
  <c r="E2119" i="2"/>
  <c r="E2118" i="2"/>
  <c r="E2117" i="2"/>
  <c r="E2116" i="2"/>
  <c r="E2115" i="2"/>
  <c r="E2114" i="2"/>
  <c r="E2113" i="2"/>
  <c r="E2112" i="2"/>
  <c r="E2111" i="2"/>
  <c r="E2110" i="2"/>
  <c r="E2109" i="2"/>
  <c r="E2108" i="2"/>
  <c r="E2107" i="2"/>
  <c r="E2106" i="2"/>
  <c r="E2105" i="2"/>
  <c r="E2104" i="2"/>
  <c r="E2103" i="2"/>
  <c r="E2102" i="2"/>
  <c r="E2101" i="2"/>
  <c r="E2100" i="2"/>
  <c r="E2099" i="2"/>
  <c r="E2098" i="2"/>
  <c r="E2097" i="2"/>
  <c r="E2096" i="2"/>
  <c r="E2095" i="2"/>
  <c r="E2094" i="2"/>
  <c r="E2093" i="2"/>
  <c r="E2092" i="2"/>
  <c r="E2091" i="2"/>
  <c r="E2090" i="2"/>
  <c r="E2089" i="2"/>
  <c r="E2088" i="2"/>
  <c r="E2087" i="2"/>
  <c r="E2086" i="2"/>
  <c r="E2085" i="2"/>
  <c r="E2084" i="2"/>
  <c r="E2083" i="2"/>
  <c r="E2082" i="2"/>
  <c r="E2081" i="2"/>
  <c r="E2080" i="2"/>
  <c r="E2079" i="2"/>
  <c r="E2078" i="2"/>
  <c r="E2077" i="2"/>
  <c r="E2076" i="2"/>
  <c r="E2075" i="2"/>
  <c r="E2074" i="2"/>
  <c r="E2073" i="2"/>
  <c r="E2072" i="2"/>
  <c r="E2071" i="2"/>
  <c r="E2070" i="2"/>
  <c r="E2069" i="2"/>
  <c r="E2068" i="2"/>
  <c r="E2067" i="2"/>
  <c r="E2066" i="2"/>
  <c r="E2065" i="2"/>
  <c r="E2064" i="2"/>
  <c r="E2063" i="2"/>
  <c r="E2062" i="2"/>
  <c r="E2061" i="2"/>
  <c r="E2060" i="2"/>
  <c r="E2059" i="2"/>
  <c r="E2058" i="2"/>
  <c r="E2057" i="2"/>
  <c r="E2056" i="2"/>
  <c r="E2055" i="2"/>
  <c r="E2054" i="2"/>
  <c r="E2053" i="2"/>
  <c r="E2052" i="2"/>
  <c r="E2051" i="2"/>
  <c r="E2050" i="2"/>
  <c r="E2049" i="2"/>
  <c r="E2048" i="2"/>
  <c r="E2047" i="2"/>
  <c r="E2046" i="2"/>
  <c r="E2045" i="2"/>
  <c r="E2044" i="2"/>
  <c r="E2043" i="2"/>
  <c r="E2042" i="2"/>
  <c r="E2041" i="2"/>
  <c r="E2040" i="2"/>
  <c r="E2039" i="2"/>
  <c r="E2038" i="2"/>
  <c r="E2037" i="2"/>
  <c r="E2036" i="2"/>
  <c r="E2035" i="2"/>
  <c r="E2034" i="2"/>
  <c r="E2033" i="2"/>
  <c r="E2032" i="2"/>
  <c r="E2031" i="2"/>
  <c r="E2030" i="2"/>
  <c r="E2029" i="2"/>
  <c r="E2028" i="2"/>
  <c r="E2027" i="2"/>
  <c r="E2026" i="2"/>
  <c r="E2025" i="2"/>
  <c r="E2024" i="2"/>
  <c r="E2023" i="2"/>
  <c r="E2022" i="2"/>
  <c r="E2021" i="2"/>
  <c r="E2020" i="2"/>
  <c r="E2019" i="2"/>
  <c r="E2018" i="2"/>
  <c r="E2017" i="2"/>
  <c r="E2016" i="2"/>
  <c r="E2015" i="2"/>
  <c r="E2014" i="2"/>
  <c r="E2013" i="2"/>
  <c r="E2012" i="2"/>
  <c r="E2011" i="2"/>
  <c r="E2010" i="2"/>
  <c r="E2009" i="2"/>
  <c r="E2008" i="2"/>
  <c r="E2007" i="2"/>
  <c r="E2006" i="2"/>
  <c r="E2005" i="2"/>
  <c r="E2004" i="2"/>
  <c r="E2003" i="2"/>
  <c r="E2002" i="2"/>
  <c r="E2001" i="2"/>
  <c r="E2000" i="2"/>
  <c r="E1999" i="2"/>
  <c r="E1998" i="2"/>
  <c r="E1997" i="2"/>
  <c r="E1996" i="2"/>
  <c r="E1995" i="2"/>
  <c r="E1994" i="2"/>
  <c r="E1993" i="2"/>
  <c r="E1992" i="2"/>
  <c r="E1991" i="2"/>
  <c r="E1990" i="2"/>
  <c r="E1989" i="2"/>
  <c r="E1988" i="2"/>
  <c r="E1987" i="2"/>
  <c r="E1986" i="2"/>
  <c r="E1985" i="2"/>
  <c r="E1984" i="2"/>
  <c r="E1983" i="2"/>
  <c r="E1982" i="2"/>
  <c r="E1981" i="2"/>
  <c r="E1980" i="2"/>
  <c r="E1979" i="2"/>
  <c r="E1978" i="2"/>
  <c r="E1977" i="2"/>
  <c r="E1976" i="2"/>
  <c r="E1975" i="2"/>
  <c r="E1974" i="2"/>
  <c r="E1973" i="2"/>
  <c r="E1972" i="2"/>
  <c r="E1971" i="2"/>
  <c r="E1970" i="2"/>
  <c r="E1969" i="2"/>
  <c r="E1968" i="2"/>
  <c r="E1967" i="2"/>
  <c r="E1966" i="2"/>
  <c r="E1965" i="2"/>
  <c r="E1964" i="2"/>
  <c r="E1963" i="2"/>
  <c r="E1962" i="2"/>
  <c r="E1961" i="2"/>
  <c r="E1960" i="2"/>
  <c r="E1959" i="2"/>
  <c r="E1958" i="2"/>
  <c r="E1957" i="2"/>
  <c r="E1956" i="2"/>
  <c r="E1955" i="2"/>
  <c r="E1954" i="2"/>
  <c r="E1953" i="2"/>
  <c r="E1952" i="2"/>
  <c r="E1951" i="2"/>
  <c r="E1950" i="2"/>
  <c r="E1949" i="2"/>
  <c r="E1948" i="2"/>
  <c r="E1947" i="2"/>
  <c r="E1946" i="2"/>
  <c r="E1945" i="2"/>
  <c r="E1944" i="2"/>
  <c r="E1943" i="2"/>
  <c r="E1942" i="2"/>
  <c r="E1941" i="2"/>
  <c r="E1940" i="2"/>
  <c r="E1939" i="2"/>
  <c r="E1938" i="2"/>
  <c r="E1937" i="2"/>
  <c r="E1936" i="2"/>
  <c r="E1935" i="2"/>
  <c r="E1934" i="2"/>
  <c r="E1933" i="2"/>
  <c r="E1932" i="2"/>
  <c r="E1931" i="2"/>
  <c r="E1930" i="2"/>
  <c r="E1929" i="2"/>
  <c r="E1928" i="2"/>
  <c r="E1927" i="2"/>
  <c r="E1926" i="2"/>
  <c r="E1925" i="2"/>
  <c r="E1924" i="2"/>
  <c r="E1923" i="2"/>
  <c r="E1922" i="2"/>
  <c r="E1921" i="2"/>
  <c r="E1920" i="2"/>
  <c r="E1919" i="2"/>
  <c r="E1918" i="2"/>
  <c r="E1917" i="2"/>
  <c r="E1916" i="2"/>
  <c r="E1915" i="2"/>
  <c r="E1914" i="2"/>
  <c r="E1913" i="2"/>
  <c r="E1912" i="2"/>
  <c r="E1911" i="2"/>
  <c r="E1910" i="2"/>
  <c r="E1909" i="2"/>
  <c r="E1908" i="2"/>
  <c r="E1907" i="2"/>
  <c r="E1906" i="2"/>
  <c r="E1905" i="2"/>
  <c r="E1904" i="2"/>
  <c r="E1903" i="2"/>
  <c r="E1902" i="2"/>
  <c r="E1901" i="2"/>
  <c r="E1900" i="2"/>
  <c r="E1899" i="2"/>
  <c r="E1898" i="2"/>
  <c r="E1897" i="2"/>
  <c r="E1896" i="2"/>
  <c r="E1895" i="2"/>
  <c r="E1894" i="2"/>
  <c r="E1893" i="2"/>
  <c r="E1892" i="2"/>
  <c r="E1891" i="2"/>
  <c r="E1890" i="2"/>
  <c r="E1889" i="2"/>
  <c r="E1888" i="2"/>
  <c r="E1887" i="2"/>
  <c r="E1886" i="2"/>
  <c r="E1885" i="2"/>
  <c r="E1884" i="2"/>
  <c r="E1883" i="2"/>
  <c r="E1882" i="2"/>
  <c r="E1881" i="2"/>
  <c r="E1880" i="2"/>
  <c r="E1879" i="2"/>
  <c r="E1878" i="2"/>
  <c r="E1877" i="2"/>
  <c r="E1876" i="2"/>
  <c r="E1875" i="2"/>
  <c r="E1874" i="2"/>
  <c r="E1873" i="2"/>
  <c r="E1872" i="2"/>
  <c r="E1871" i="2"/>
  <c r="E1870" i="2"/>
  <c r="E1869" i="2"/>
  <c r="E1868" i="2"/>
  <c r="E1867" i="2"/>
  <c r="E1866" i="2"/>
  <c r="E1865" i="2"/>
  <c r="E1864" i="2"/>
  <c r="E1863" i="2"/>
  <c r="E1862" i="2"/>
  <c r="E1861" i="2"/>
  <c r="E1860" i="2"/>
  <c r="E1859" i="2"/>
  <c r="E1858" i="2"/>
  <c r="E1857" i="2"/>
  <c r="E1856" i="2"/>
  <c r="E1855" i="2"/>
  <c r="E1854" i="2"/>
  <c r="E1853" i="2"/>
  <c r="E1852" i="2"/>
  <c r="E1851" i="2"/>
  <c r="E1850" i="2"/>
  <c r="E1849" i="2"/>
  <c r="E1848" i="2"/>
  <c r="E1847" i="2"/>
  <c r="E1846" i="2"/>
  <c r="E1845" i="2"/>
  <c r="E1844" i="2"/>
  <c r="E1843" i="2"/>
  <c r="E1842" i="2"/>
  <c r="E1841" i="2"/>
  <c r="E1840" i="2"/>
  <c r="E1839" i="2"/>
  <c r="E1838" i="2"/>
  <c r="E1837" i="2"/>
  <c r="E1836" i="2"/>
  <c r="E1835" i="2"/>
  <c r="E1834" i="2"/>
  <c r="E1833" i="2"/>
  <c r="E1832" i="2"/>
  <c r="E1831" i="2"/>
  <c r="E1830" i="2"/>
  <c r="E1829" i="2"/>
  <c r="E1828" i="2"/>
  <c r="E1827" i="2"/>
  <c r="E1826" i="2"/>
  <c r="E1825" i="2"/>
  <c r="E1824" i="2"/>
  <c r="E1823" i="2"/>
  <c r="E1822" i="2"/>
  <c r="E1821" i="2"/>
  <c r="E1820" i="2"/>
  <c r="E1819" i="2"/>
  <c r="E1818" i="2"/>
  <c r="E1817" i="2"/>
  <c r="E1816" i="2"/>
  <c r="E1815" i="2"/>
  <c r="E1814" i="2"/>
  <c r="E1813" i="2"/>
  <c r="E1812" i="2"/>
  <c r="E1811" i="2"/>
  <c r="E1810" i="2"/>
  <c r="E1809" i="2"/>
  <c r="E1808" i="2"/>
  <c r="E1807" i="2"/>
  <c r="E1806" i="2"/>
  <c r="E1805" i="2"/>
  <c r="E1804" i="2"/>
  <c r="E1803" i="2"/>
  <c r="E1802" i="2"/>
  <c r="E1801" i="2"/>
  <c r="E1800" i="2"/>
  <c r="E1799" i="2"/>
  <c r="E1798" i="2"/>
  <c r="E1797" i="2"/>
  <c r="E1796" i="2"/>
  <c r="E1795" i="2"/>
  <c r="E1794" i="2"/>
  <c r="E1793" i="2"/>
  <c r="E1792" i="2"/>
  <c r="E1791" i="2"/>
  <c r="E1790" i="2"/>
  <c r="E1789" i="2"/>
  <c r="E1788" i="2"/>
  <c r="E1787" i="2"/>
  <c r="E1786" i="2"/>
  <c r="E1785" i="2"/>
  <c r="E1784" i="2"/>
  <c r="E1783" i="2"/>
  <c r="E1782" i="2"/>
  <c r="E1781" i="2"/>
  <c r="E1780" i="2"/>
  <c r="E1779" i="2"/>
  <c r="E1778" i="2"/>
  <c r="E1777" i="2"/>
  <c r="E1776" i="2"/>
  <c r="E1775" i="2"/>
  <c r="E1774" i="2"/>
  <c r="E1773" i="2"/>
  <c r="E1772" i="2"/>
  <c r="E1771" i="2"/>
  <c r="E1770" i="2"/>
  <c r="E1769" i="2"/>
  <c r="E1768" i="2"/>
  <c r="E1767" i="2"/>
  <c r="E1766" i="2"/>
  <c r="E1765" i="2"/>
  <c r="E1764" i="2"/>
  <c r="E1763" i="2"/>
  <c r="E1762" i="2"/>
  <c r="E1761" i="2"/>
  <c r="E1760" i="2"/>
  <c r="E1759" i="2"/>
  <c r="E1758" i="2"/>
  <c r="E1757" i="2"/>
  <c r="E1756" i="2"/>
  <c r="E1755" i="2"/>
  <c r="E1754" i="2"/>
  <c r="E1753" i="2"/>
  <c r="E1752" i="2"/>
  <c r="E1751" i="2"/>
  <c r="E1750" i="2"/>
  <c r="E1749" i="2"/>
  <c r="E1748" i="2"/>
  <c r="E1747" i="2"/>
  <c r="E1746" i="2"/>
  <c r="E1745" i="2"/>
  <c r="E1744" i="2"/>
  <c r="E1743" i="2"/>
  <c r="E1742" i="2"/>
  <c r="E1741" i="2"/>
  <c r="E1740" i="2"/>
  <c r="E1739" i="2"/>
  <c r="E1738" i="2"/>
  <c r="E1737" i="2"/>
  <c r="E1736" i="2"/>
  <c r="E1735" i="2"/>
  <c r="E1734" i="2"/>
  <c r="E1733" i="2"/>
  <c r="E1732" i="2"/>
  <c r="E1731" i="2"/>
  <c r="E1730" i="2"/>
  <c r="E1729" i="2"/>
  <c r="E1728" i="2"/>
  <c r="E1727" i="2"/>
  <c r="E1726" i="2"/>
  <c r="E1725" i="2"/>
  <c r="E1724" i="2"/>
  <c r="E1723" i="2"/>
  <c r="E1722" i="2"/>
  <c r="E1721" i="2"/>
  <c r="E1720" i="2"/>
  <c r="E1719" i="2"/>
  <c r="E1718" i="2"/>
  <c r="E1717" i="2"/>
  <c r="E1716" i="2"/>
  <c r="E1715" i="2"/>
  <c r="E1714" i="2"/>
  <c r="E1713" i="2"/>
  <c r="E1712" i="2"/>
  <c r="E1711" i="2"/>
  <c r="E1710" i="2"/>
  <c r="E1709" i="2"/>
  <c r="E1708" i="2"/>
  <c r="E1707" i="2"/>
  <c r="E1706" i="2"/>
  <c r="E1705" i="2"/>
  <c r="E1704" i="2"/>
  <c r="E1703" i="2"/>
  <c r="E1702" i="2"/>
  <c r="E1701" i="2"/>
  <c r="E1700" i="2"/>
  <c r="E1699" i="2"/>
  <c r="E1698" i="2"/>
  <c r="E1697" i="2"/>
  <c r="E1696" i="2"/>
  <c r="E1695" i="2"/>
  <c r="E1694" i="2"/>
  <c r="E1693" i="2"/>
  <c r="E1692" i="2"/>
  <c r="E1691" i="2"/>
  <c r="E1690" i="2"/>
  <c r="E1689" i="2"/>
  <c r="E1688" i="2"/>
  <c r="E1687" i="2"/>
  <c r="E1686" i="2"/>
  <c r="E1685" i="2"/>
  <c r="E1684" i="2"/>
  <c r="E1683" i="2"/>
  <c r="E1682" i="2"/>
  <c r="E1681" i="2"/>
  <c r="E1680" i="2"/>
  <c r="E1679" i="2"/>
  <c r="E1678" i="2"/>
  <c r="E1677" i="2"/>
  <c r="E1676" i="2"/>
  <c r="E1675" i="2"/>
  <c r="E1674" i="2"/>
  <c r="E1673" i="2"/>
  <c r="E1672" i="2"/>
  <c r="E1671" i="2"/>
  <c r="E1670" i="2"/>
  <c r="E1669" i="2"/>
  <c r="E1668" i="2"/>
  <c r="E1667" i="2"/>
  <c r="E1666" i="2"/>
  <c r="E1665" i="2"/>
  <c r="E1664" i="2"/>
  <c r="E1663" i="2"/>
  <c r="E1662" i="2"/>
  <c r="E1661" i="2"/>
  <c r="E1660" i="2"/>
  <c r="E1659" i="2"/>
  <c r="E1658" i="2"/>
  <c r="E1657" i="2"/>
  <c r="E1656" i="2"/>
  <c r="E1655" i="2"/>
  <c r="E1654" i="2"/>
  <c r="E1653" i="2"/>
  <c r="E1652" i="2"/>
  <c r="E1651" i="2"/>
  <c r="E1650" i="2"/>
  <c r="E1649" i="2"/>
  <c r="E1648" i="2"/>
  <c r="E1647" i="2"/>
  <c r="E1646" i="2"/>
  <c r="E1645" i="2"/>
  <c r="E1644" i="2"/>
  <c r="E1643" i="2"/>
  <c r="E1642" i="2"/>
  <c r="E1641" i="2"/>
  <c r="E1640" i="2"/>
  <c r="E1639" i="2"/>
  <c r="E1638" i="2"/>
  <c r="E1637" i="2"/>
  <c r="E1636" i="2"/>
  <c r="E1635" i="2"/>
  <c r="E1634" i="2"/>
  <c r="E1633" i="2"/>
  <c r="E1632" i="2"/>
  <c r="E1631" i="2"/>
  <c r="E1630" i="2"/>
  <c r="E1629" i="2"/>
  <c r="E1628" i="2"/>
  <c r="E1627" i="2"/>
  <c r="E1626" i="2"/>
  <c r="E1625" i="2"/>
  <c r="E1624" i="2"/>
  <c r="E1623" i="2"/>
  <c r="E1622" i="2"/>
  <c r="E1621" i="2"/>
  <c r="E1620" i="2"/>
  <c r="E1619" i="2"/>
  <c r="E1618" i="2"/>
  <c r="E1617" i="2"/>
  <c r="E1616" i="2"/>
  <c r="E1615" i="2"/>
  <c r="E1614" i="2"/>
  <c r="E1613" i="2"/>
  <c r="E1612" i="2"/>
  <c r="E1611" i="2"/>
  <c r="E1610" i="2"/>
  <c r="E1609" i="2"/>
  <c r="E1608" i="2"/>
  <c r="E1607" i="2"/>
  <c r="E1606" i="2"/>
  <c r="E1605" i="2"/>
  <c r="E1604" i="2"/>
  <c r="E1603" i="2"/>
  <c r="E1602" i="2"/>
  <c r="E1601" i="2"/>
  <c r="E1600" i="2"/>
  <c r="E1599" i="2"/>
  <c r="E1598" i="2"/>
  <c r="E1597" i="2"/>
  <c r="E1596" i="2"/>
  <c r="E1595" i="2"/>
  <c r="E1594" i="2"/>
  <c r="E1593" i="2"/>
  <c r="E1592" i="2"/>
  <c r="E1591" i="2"/>
  <c r="E1590" i="2"/>
  <c r="E1589" i="2"/>
  <c r="E1588" i="2"/>
  <c r="E1587" i="2"/>
  <c r="E1586" i="2"/>
  <c r="E1585" i="2"/>
  <c r="E1584" i="2"/>
  <c r="E1583" i="2"/>
  <c r="E1582" i="2"/>
  <c r="E1581" i="2"/>
  <c r="E1580" i="2"/>
  <c r="E1579" i="2"/>
  <c r="E1578" i="2"/>
  <c r="E1577" i="2"/>
  <c r="E1576" i="2"/>
  <c r="E1575" i="2"/>
  <c r="E1574" i="2"/>
  <c r="E1573" i="2"/>
  <c r="E1572" i="2"/>
  <c r="E1571" i="2"/>
  <c r="E1570" i="2"/>
  <c r="E1569" i="2"/>
  <c r="E1568" i="2"/>
  <c r="E1567" i="2"/>
  <c r="E1566" i="2"/>
  <c r="E1565" i="2"/>
  <c r="E1564" i="2"/>
  <c r="E1563" i="2"/>
  <c r="E1562" i="2"/>
  <c r="E1561" i="2"/>
  <c r="E1560" i="2"/>
  <c r="E1559" i="2"/>
  <c r="E1558" i="2"/>
  <c r="E1557" i="2"/>
  <c r="E1556" i="2"/>
  <c r="E1555" i="2"/>
  <c r="E1554" i="2"/>
  <c r="E1553" i="2"/>
  <c r="E1552" i="2"/>
  <c r="E1551" i="2"/>
  <c r="E1550" i="2"/>
  <c r="E1549" i="2"/>
  <c r="E1548" i="2"/>
  <c r="E1547" i="2"/>
  <c r="E1546" i="2"/>
  <c r="E1545" i="2"/>
  <c r="E1544" i="2"/>
  <c r="E1543" i="2"/>
  <c r="E1542" i="2"/>
  <c r="E1541" i="2"/>
  <c r="E1540" i="2"/>
  <c r="E1539" i="2"/>
  <c r="E1538" i="2"/>
  <c r="E1537" i="2"/>
  <c r="E1536" i="2"/>
  <c r="E1535" i="2"/>
  <c r="E1534" i="2"/>
  <c r="E1533" i="2"/>
  <c r="E1532" i="2"/>
  <c r="E1531" i="2"/>
  <c r="E1530" i="2"/>
  <c r="E1529" i="2"/>
  <c r="E1528" i="2"/>
  <c r="E1527" i="2"/>
  <c r="E1526" i="2"/>
  <c r="E1525" i="2"/>
  <c r="E1524" i="2"/>
  <c r="E1523" i="2"/>
  <c r="E1522" i="2"/>
  <c r="E1521" i="2"/>
  <c r="E1520" i="2"/>
  <c r="E1519" i="2"/>
  <c r="E1518" i="2"/>
  <c r="E1517" i="2"/>
  <c r="E1516" i="2"/>
  <c r="E1515" i="2"/>
  <c r="E1514" i="2"/>
  <c r="E1513" i="2"/>
  <c r="E1512" i="2"/>
  <c r="E1511" i="2"/>
  <c r="E1510" i="2"/>
  <c r="E1509" i="2"/>
  <c r="E1508" i="2"/>
  <c r="E1507" i="2"/>
  <c r="E1506" i="2"/>
  <c r="E1505" i="2"/>
  <c r="E1504" i="2"/>
  <c r="E1503" i="2"/>
  <c r="E1502" i="2"/>
  <c r="E1501" i="2"/>
  <c r="E1500" i="2"/>
  <c r="E1499" i="2"/>
  <c r="E1498" i="2"/>
  <c r="E1497" i="2"/>
  <c r="E1496" i="2"/>
  <c r="E1495" i="2"/>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71" i="2"/>
  <c r="E1470"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31" i="2"/>
  <c r="E1430"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7" i="2"/>
  <c r="E1376"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6" i="1"/>
  <c r="E7" i="1"/>
  <c r="E8" i="1"/>
  <c r="E9" i="1"/>
  <c r="E10" i="1"/>
  <c r="E11" i="1"/>
  <c r="E12" i="1"/>
  <c r="E13" i="1"/>
  <c r="E14" i="1"/>
  <c r="E15" i="1"/>
  <c r="E16" i="1"/>
  <c r="E18" i="1"/>
  <c r="E17"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2" i="1"/>
  <c r="E161"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7" i="1"/>
  <c r="E506" i="1"/>
  <c r="E508" i="1"/>
  <c r="E510" i="1"/>
  <c r="E509"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2" i="1"/>
  <c r="E551"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8" i="1"/>
  <c r="E709" i="1"/>
  <c r="E710" i="1"/>
  <c r="E711" i="1"/>
  <c r="E707" i="1"/>
  <c r="E712" i="1"/>
  <c r="E713" i="1"/>
  <c r="E714" i="1"/>
  <c r="E715" i="1"/>
  <c r="E717" i="1"/>
  <c r="E716"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1" i="1"/>
  <c r="E810"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2" i="1"/>
  <c r="E871"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7" i="1"/>
  <c r="E1246"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3" i="1"/>
  <c r="E1302" i="1"/>
  <c r="E1304" i="1"/>
  <c r="E1305" i="1"/>
  <c r="E1306" i="1"/>
  <c r="E1307" i="1"/>
  <c r="E1308" i="1"/>
  <c r="E1309" i="1"/>
  <c r="E1311" i="1"/>
  <c r="E1310"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50" i="1"/>
  <c r="E1349" i="1"/>
  <c r="E1351" i="1"/>
  <c r="E1352" i="1"/>
  <c r="E1353" i="1"/>
  <c r="E1354" i="1"/>
  <c r="E1355" i="1"/>
  <c r="E1356" i="1"/>
  <c r="E1357" i="1"/>
  <c r="E1358" i="1"/>
  <c r="E1361" i="1"/>
  <c r="E1359" i="1"/>
  <c r="E1360"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2200" i="1"/>
  <c r="E2201" i="1"/>
  <c r="E2202" i="1"/>
  <c r="E2203"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403" i="1"/>
  <c r="E2404" i="1"/>
  <c r="E2405" i="1"/>
  <c r="E2406" i="1"/>
  <c r="E2407" i="1"/>
  <c r="E2408" i="1"/>
  <c r="E2409" i="1"/>
  <c r="E2410" i="1"/>
  <c r="E2411" i="1"/>
  <c r="E2412" i="1"/>
  <c r="E2413" i="1"/>
  <c r="E2414" i="1"/>
  <c r="E2415" i="1"/>
  <c r="E2416" i="1"/>
  <c r="E2417"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alcChain>
</file>

<file path=xl/sharedStrings.xml><?xml version="1.0" encoding="utf-8"?>
<sst xmlns="http://schemas.openxmlformats.org/spreadsheetml/2006/main" count="26355" uniqueCount="2538">
  <si>
    <t>Date Range:10/01/2009 to 09/30/2010</t>
  </si>
  <si>
    <t>Report Created On:January 30. 2015  10:57 AM</t>
  </si>
  <si>
    <t>Litigative Payments:</t>
  </si>
  <si>
    <t>DefendantAgency Name</t>
  </si>
  <si>
    <t>Control #</t>
  </si>
  <si>
    <t>Plaintiff's Counsel</t>
  </si>
  <si>
    <t>Payment ID #</t>
  </si>
  <si>
    <t>Payment Sent Date</t>
  </si>
  <si>
    <t>Confirmed Payment Amount</t>
  </si>
  <si>
    <t>Principal Amount</t>
  </si>
  <si>
    <t>Principal Citation Code</t>
  </si>
  <si>
    <t>Principal Citation Code Description</t>
  </si>
  <si>
    <t>Attorneys Fee Amount</t>
  </si>
  <si>
    <t>Attorneys Fee Citation Code</t>
  </si>
  <si>
    <t>Attorneys Fee Citation Code Description</t>
  </si>
  <si>
    <t>Cost Amount</t>
  </si>
  <si>
    <t>Cost Citation Code</t>
  </si>
  <si>
    <t>Cost Citation Code Description</t>
  </si>
  <si>
    <t>Interest Amount</t>
  </si>
  <si>
    <t>Interest Citation Code</t>
  </si>
  <si>
    <t>Interest Citation Code Description</t>
  </si>
  <si>
    <t>Adm Ofc of US Courts</t>
  </si>
  <si>
    <t>Laura M Sasaki</t>
  </si>
  <si>
    <t xml:space="preserve">28-USC-2677 Traffic      </t>
  </si>
  <si>
    <t>Federal Tort Claims Act/Court/Traffic</t>
  </si>
  <si>
    <t>HABUSH HABUSH &amp; ROTTIER SC</t>
  </si>
  <si>
    <t>Law Offices of Starre &amp; Cohn</t>
  </si>
  <si>
    <t>T. M.  Gaylord;TATE; GAYLORD; LUCAS  PURDOM &amp; WORKMAN; LLP</t>
  </si>
  <si>
    <t>Agency for International Development</t>
  </si>
  <si>
    <t>Kirkland &amp; Ellis; LLP</t>
  </si>
  <si>
    <t xml:space="preserve">42-USC-2000e-16          </t>
  </si>
  <si>
    <t>Title VII; Discrimination In Federal Employment</t>
  </si>
  <si>
    <t>Agricultural Res Svc</t>
  </si>
  <si>
    <t>MORRIS CRAVEN &amp; SULAK LLP</t>
  </si>
  <si>
    <t>Alcohol Tobacco Fire</t>
  </si>
  <si>
    <t>JEFFREY W RUFOLO;SUMMERS &amp; WYATT PC</t>
  </si>
  <si>
    <t>MARTIN G GOCH</t>
  </si>
  <si>
    <t>OKLAHOMA BAR FOUNDATION</t>
  </si>
  <si>
    <t xml:space="preserve">28-USC-2677 Miscellany   </t>
  </si>
  <si>
    <t>Federal Tort Claims Act/Court/Miscellany</t>
  </si>
  <si>
    <t>Law Offices of Berglund and Johnson</t>
  </si>
  <si>
    <t>MW BEASLEY; ESQ TRUST ACCOUNT</t>
  </si>
  <si>
    <t>Animal &amp; Plant Hlth</t>
  </si>
  <si>
    <t>JOHN M LAGO</t>
  </si>
  <si>
    <t>BACHUS &amp; SCHANKER; LLC</t>
  </si>
  <si>
    <t>JOHN T JOUBERT</t>
  </si>
  <si>
    <t>Broadcasting Board of Governors</t>
  </si>
  <si>
    <t>ALDERMAN DEVORSETZ &amp; HORA PLLC</t>
  </si>
  <si>
    <t>Kalijarvi; Chuzi &amp; Newman</t>
  </si>
  <si>
    <t>Bur of Indian Affair</t>
  </si>
  <si>
    <t>ABEYTA-NELSON PC IOLTA;GREGORY S LIGHTY</t>
  </si>
  <si>
    <t>Hugh M Robinson</t>
  </si>
  <si>
    <t>PECHOTA LAW OFFICE</t>
  </si>
  <si>
    <t>John  Mahoney</t>
  </si>
  <si>
    <t xml:space="preserve">28-USC-2672 Miscellany   </t>
  </si>
  <si>
    <t>Federal Tort Claims Act/Admin/Miscellany</t>
  </si>
  <si>
    <t xml:space="preserve">28-USC-2412(a)           </t>
  </si>
  <si>
    <t>Costs Per 28 USC 1920</t>
  </si>
  <si>
    <t>THE LAW OFFICES OF DAVID R JORDAN PC</t>
  </si>
  <si>
    <t>FULLER &amp; SABERS LLP;WILLIAM  FULLER</t>
  </si>
  <si>
    <t>Phillip  DeBerard</t>
  </si>
  <si>
    <t>William  Fuller</t>
  </si>
  <si>
    <t>Fuller &amp; Sabers LLP</t>
  </si>
  <si>
    <t>IOTA TRUST OF MERMELSTEIN &amp; HOTOWITZ; PA</t>
  </si>
  <si>
    <t xml:space="preserve">28-USC-1491 Indian Claim </t>
  </si>
  <si>
    <t>Indiviual Indian Claim-cite basis for award in comments</t>
  </si>
  <si>
    <t>FULLER AND SABERS LLP</t>
  </si>
  <si>
    <t>LAWCOL CORPORATION PREMINUM TRUST;RICHARD P TRAULSEN</t>
  </si>
  <si>
    <t xml:space="preserve">28-USC-2677 Prop-Maint   </t>
  </si>
  <si>
    <t>Federal Tort Claims Act/Court/Prop-Maint</t>
  </si>
  <si>
    <t>BARBER &amp; BORG LLC ACCT IOLTA;PAUL  BARBER</t>
  </si>
  <si>
    <t>MAXEY LAW OFFICES IOLTA</t>
  </si>
  <si>
    <t xml:space="preserve">28-USC-2677 Med Mal      </t>
  </si>
  <si>
    <t>Federal Tort Claims Act/Court/Med Mal</t>
  </si>
  <si>
    <t>JACKSON WHITE P.C. TRUST ACCT;RYAN K HODGES</t>
  </si>
  <si>
    <t>PECHOTA LAW OFFICE;TERRY L PECHOTA</t>
  </si>
  <si>
    <t>Abourazk Law  Firm Trt Account;George  Nelson</t>
  </si>
  <si>
    <t>BROOK J HEATHCOTTE;DAVID G DERICKSON PC</t>
  </si>
  <si>
    <t>TERRYl T MATT</t>
  </si>
  <si>
    <t>Bur of Indian Affair; Department of the Interior</t>
  </si>
  <si>
    <t>Bryan G Smith-Tamaki</t>
  </si>
  <si>
    <t>Bur of Land Mgmt</t>
  </si>
  <si>
    <t>CHAPMAN-VALDEZ IOLTA ACCOUNT</t>
  </si>
  <si>
    <t>Killian &amp;  Davis P.C. COLTAF Client Trust</t>
  </si>
  <si>
    <t>JEFFERY S SLATER</t>
  </si>
  <si>
    <t>BACHUS &amp; SCHANKER LLC COLTAF;STEPHEN A JUSTINO</t>
  </si>
  <si>
    <t>BOCCARDO LAW FIRM INC</t>
  </si>
  <si>
    <t>Bur of Reclamation</t>
  </si>
  <si>
    <t>28-USC-1491 Express Contr</t>
  </si>
  <si>
    <t>Breach of Express Contract (Not a CDA Claim)</t>
  </si>
  <si>
    <t>DANIEL R MARTINEZ</t>
  </si>
  <si>
    <t xml:space="preserve">28-USC-2677  Aircrash    </t>
  </si>
  <si>
    <t>Federal Tort Claims Act/Court/Aircrash</t>
  </si>
  <si>
    <t>Bureau of Prisons</t>
  </si>
  <si>
    <t>John  Jahrmarkt</t>
  </si>
  <si>
    <t>ENRIQUE  VELEZ-RODRIGUEZ</t>
  </si>
  <si>
    <t>CENTER FOR CONSTITUTIONAL RIGHTS;COVINGTON AND BURLING LLP</t>
  </si>
  <si>
    <t>JOAN  MAGOOLAGHAN</t>
  </si>
  <si>
    <t xml:space="preserve">41-USC-601et seq         </t>
  </si>
  <si>
    <t>Contract Disputes Act</t>
  </si>
  <si>
    <t>JANE  MORAN</t>
  </si>
  <si>
    <t>Carmen  Decker;Colorado Lawyer TrT  Account FNDN Budman &amp; Hershey</t>
  </si>
  <si>
    <t>PAULEY CURRY PLLC</t>
  </si>
  <si>
    <t>J ASHLEY  TWOMBLY;TWENGE &amp; TWOMBLEY</t>
  </si>
  <si>
    <t xml:space="preserve">29-USC-794a              </t>
  </si>
  <si>
    <t>Disability discrim-federal employment</t>
  </si>
  <si>
    <t>SOLOMON SULLIVAN ROMO &amp; DURRETT</t>
  </si>
  <si>
    <t>LAW OFFICES OF MARC DANN IOLTA TR ACCT;MARC  DANN</t>
  </si>
  <si>
    <t>BUDGE &amp; HEIPT PLLC</t>
  </si>
  <si>
    <t>MONTE J RABNER</t>
  </si>
  <si>
    <t>THE FUSSELMAN LAW FIRM P.C.</t>
  </si>
  <si>
    <t>David G Clunie</t>
  </si>
  <si>
    <t>STARK &amp; STARK</t>
  </si>
  <si>
    <t>JAMES B DOUGHERTY</t>
  </si>
  <si>
    <t>JOSE P QUETGLAS-JORDAN</t>
  </si>
  <si>
    <t>DAVID D DOYLE</t>
  </si>
  <si>
    <t>GODFREY &amp; KAHN</t>
  </si>
  <si>
    <t>JOAQUIN &amp; DUNCAN LLC</t>
  </si>
  <si>
    <t>LEVENTHAL &amp; KLEIN; LLP</t>
  </si>
  <si>
    <t>RONEMUS &amp; VILENSKY LLP</t>
  </si>
  <si>
    <t>Law Offices of Robert C. Moest</t>
  </si>
  <si>
    <t>BURCH PORTER &amp; JOHNSON PLLC</t>
  </si>
  <si>
    <t>STURGILL TURNER BARKER &amp; MOLONEY ESCROW</t>
  </si>
  <si>
    <t xml:space="preserve">5-USC-552a               </t>
  </si>
  <si>
    <t>Privacy Act</t>
  </si>
  <si>
    <t>TUCKER ARENSBURG; P.C. (IOLTA ACCT)</t>
  </si>
  <si>
    <t>Bureau of Prisons; Department of Justice</t>
  </si>
  <si>
    <t>MARTIN  SCHIOWITZ</t>
  </si>
  <si>
    <t>Citizen &amp; Immig Svc</t>
  </si>
  <si>
    <t>Wilson and Parlett</t>
  </si>
  <si>
    <t>NATIONAL IMMIGRATION LAW CTR</t>
  </si>
  <si>
    <t>BRENT  RENISON;PARRILLI  RANISON LLC</t>
  </si>
  <si>
    <t>PARRILLI RENISON LLC</t>
  </si>
  <si>
    <t>VARD R JOHNSON</t>
  </si>
  <si>
    <t>PARRILLI RENISON LLC CL-TRUST ACCT</t>
  </si>
  <si>
    <t>PARRILLI RENISON LLC CLIENT TRUST ACCT</t>
  </si>
  <si>
    <t>Coast Guard</t>
  </si>
  <si>
    <t>TILLERY &amp; TILLERY TRUST ACCOUNT</t>
  </si>
  <si>
    <t>ANDREW J DAVIS;CHAVEZ &amp; GERTLER LPP;DAVIS LAW OFFICES;JONATHAN E GERTLER</t>
  </si>
  <si>
    <t>SMITH LAW OFFICES PA</t>
  </si>
  <si>
    <t>Venable LLP Escrow Account</t>
  </si>
  <si>
    <t>Coast Guard; Department of Navy; Department of the Air Force; Department of the Army</t>
  </si>
  <si>
    <t xml:space="preserve">42-USC-9606              </t>
  </si>
  <si>
    <t>CERCLA - Superfund (Reimbursement)</t>
  </si>
  <si>
    <t>Coast Guard; Department of the Interior; Department of Veterans Affairs; Environmental Protection Agency</t>
  </si>
  <si>
    <t>Coast Guard; US Army Corps of Engineers</t>
  </si>
  <si>
    <t>Comm on Natl &amp; Community Service</t>
  </si>
  <si>
    <t>PEGGY G SCHURFRANZ</t>
  </si>
  <si>
    <t>Court Services &amp; Offender Services</t>
  </si>
  <si>
    <t>Chaikin; Sherman; Cammarata &amp; Siegel</t>
  </si>
  <si>
    <t>Customs and Border Protection</t>
  </si>
  <si>
    <t>Hector L Barreto-Cintron</t>
  </si>
  <si>
    <t>THE HIRSCH LAW FIRM PLLC IOLTA</t>
  </si>
  <si>
    <t>Gerald Singleton APC</t>
  </si>
  <si>
    <t>TEXAS RIO GRANDE LEGAL AID INC</t>
  </si>
  <si>
    <t xml:space="preserve">28-USC-2672 Fls-Arrest   </t>
  </si>
  <si>
    <t>Federal Tort Claims Act/Admin/Fls-Arrest</t>
  </si>
  <si>
    <t>BELLOVIN &amp; KARNAS PC;BOGUTZ &amp; GORDON PC</t>
  </si>
  <si>
    <t>Enrique  Lopez</t>
  </si>
  <si>
    <t>Terry  Singleton</t>
  </si>
  <si>
    <t>RONALD H TONKIN IOLTA ACCT</t>
  </si>
  <si>
    <t>FADDUOL CLUFF &amp; HARDY PC</t>
  </si>
  <si>
    <t>Jeffrey E. Estes &amp; Associates</t>
  </si>
  <si>
    <t>Refugio del Rio Grande</t>
  </si>
  <si>
    <t>JAMES  KILLION</t>
  </si>
  <si>
    <t>KRIEZELMAN BURTON AND ASSOCIATES LLC</t>
  </si>
  <si>
    <t>Sherman &amp; Sherman</t>
  </si>
  <si>
    <t xml:space="preserve">28-USC-2465              </t>
  </si>
  <si>
    <t>Return Of Property - Attny Fees&amp;Costs</t>
  </si>
  <si>
    <t>SANDERS SANDERS BLOCK WOYCIK VIENER &amp;</t>
  </si>
  <si>
    <t>Ringler Associates</t>
  </si>
  <si>
    <t>ENRIQUE  LOPEZ</t>
  </si>
  <si>
    <t>OAXACA BERNAL &amp; ASSOCIATES</t>
  </si>
  <si>
    <t>JOSEPH R BABBITT JOHNSON OSBORNE</t>
  </si>
  <si>
    <t>MOULTON LAW FIRM</t>
  </si>
  <si>
    <t>MILLER PITT FELDMAN &amp; MCANALLY PC</t>
  </si>
  <si>
    <t>JAMES F SCHERR</t>
  </si>
  <si>
    <t>Customs and Border Protection; DHS - Immigration  &amp; Customs Enforcement (ICE)</t>
  </si>
  <si>
    <t>GONZALES &amp; OTERO LLC;JAVIAR N MALDONADO &amp; ALFONSO OTARO</t>
  </si>
  <si>
    <t xml:space="preserve">28-USC-2677 Fls-Arrest   </t>
  </si>
  <si>
    <t>Federal Tort Claims Act/Court/Fls-Arrest</t>
  </si>
  <si>
    <t>Customs and Border Protection; Homeland Security</t>
  </si>
  <si>
    <t>MARK  BERKOWITZ;MARK CONRAD ATTORNEY AT LAW PC</t>
  </si>
  <si>
    <t>R W ARMSTRONG &amp; ASSOCIATES;RONALD W ARMSTRONG</t>
  </si>
  <si>
    <t>Ronald W Amstrong</t>
  </si>
  <si>
    <t>Def Contract Audit</t>
  </si>
  <si>
    <t>MARY  DRYOVAGE;WENDY  MUSELL</t>
  </si>
  <si>
    <t>Def Logistics Agency</t>
  </si>
  <si>
    <t>MARK  GALLAGHER</t>
  </si>
  <si>
    <t>Def Logistics Agency; Def Reutilization</t>
  </si>
  <si>
    <t>Def Logistics Agency; Department of Health and Human Services; Department of Labor; Department of Navy; Department of the Air Force; Department of the Army; Department of the Interior; General Services Administration; Maritime Admin; National Aeronautics and Space Administration</t>
  </si>
  <si>
    <t>Def Logistics Agency; Department of the Air Force; Department of the Army; Marine Corps</t>
  </si>
  <si>
    <t>Defense Commisary</t>
  </si>
  <si>
    <t>PATRICIA  ANDREWS</t>
  </si>
  <si>
    <t>FRANCIS G FANNING IOLTA</t>
  </si>
  <si>
    <t>Department of Agriculture</t>
  </si>
  <si>
    <t>ALEXANDER  PIRES</t>
  </si>
  <si>
    <t xml:space="preserve">15-USC-1691e             </t>
  </si>
  <si>
    <t>Equal Credit Opportunity Act</t>
  </si>
  <si>
    <t>COVINGTON &amp; BURLING LLP</t>
  </si>
  <si>
    <t>Jeffrey R Cagle</t>
  </si>
  <si>
    <t>Henry J Kowalski;Rone Hughes  Kowalski</t>
  </si>
  <si>
    <t>Lisa  Brener</t>
  </si>
  <si>
    <t>SHUTTS &amp; BOWEN OPERATING ACCT</t>
  </si>
  <si>
    <t>CONLON FRANTZ &amp; PHELAN LLP</t>
  </si>
  <si>
    <t>Ring and Green;Southern California Law Associates</t>
  </si>
  <si>
    <t>STINSON MORRISON HECKER LLP</t>
  </si>
  <si>
    <t>ALEXANDER J PIRES</t>
  </si>
  <si>
    <t>Poorman Douglas Claimant;Rose  Sanders</t>
  </si>
  <si>
    <t>ALEXANDER J PIRES;TIM PIGFORD ET AL</t>
  </si>
  <si>
    <t>TIM PIGFORD ET AL</t>
  </si>
  <si>
    <t>STEVEN HILL IOLTA TR ACCT;STEVEN L HILL</t>
  </si>
  <si>
    <t>CHESTNUT SANDERS SANDERS &amp; PETTAWAY</t>
  </si>
  <si>
    <t>BARBAS NUNEZ SANDERS BUTLER &amp; HOVSEPIAN</t>
  </si>
  <si>
    <t>Jeff  Eckland</t>
  </si>
  <si>
    <t>Steven M Cronin</t>
  </si>
  <si>
    <t>Michael J Dillion</t>
  </si>
  <si>
    <t>POORMAN DOUGLAS CORP</t>
  </si>
  <si>
    <t>Martinez Hart  &amp; Thompson P.C.;Renee L Diamond</t>
  </si>
  <si>
    <t>Nordstrom Steele Nicolette and Blythe</t>
  </si>
  <si>
    <t>CONLON FRANTZ &amp; PHELAN</t>
  </si>
  <si>
    <t>DAWN  BATTISTE</t>
  </si>
  <si>
    <t>ALBERT L WILLIS</t>
  </si>
  <si>
    <t>William C Jeanney</t>
  </si>
  <si>
    <t>REED  RUBENSTEIN</t>
  </si>
  <si>
    <t>HUNT LAW LLC TR ACCT</t>
  </si>
  <si>
    <t>Department of Agriculture; Department of the Air Force; Department of the Army; Department of the Interior; National Aeronautics and Space Administration</t>
  </si>
  <si>
    <t>Department of Agriculture; Food Safety &amp; Inspec</t>
  </si>
  <si>
    <t>GEORGE G ARGIONIS</t>
  </si>
  <si>
    <t>Department of Agriculture; Forest Service</t>
  </si>
  <si>
    <t>J COLLINS LANDSTREET II ATTORNEY-AT-LAW;TRUST ACCOUNT</t>
  </si>
  <si>
    <t>DONALD  CAMPBELL;LAMAR  PORTER</t>
  </si>
  <si>
    <t>EARTHJUSTICE LEGAL DEFENSE FUND</t>
  </si>
  <si>
    <t>Department of Commerce</t>
  </si>
  <si>
    <t xml:space="preserve">16-USC-1540              </t>
  </si>
  <si>
    <t>Endangered Species Act</t>
  </si>
  <si>
    <t>PAUL J ORFANEDES</t>
  </si>
  <si>
    <t xml:space="preserve">5-USC-552                </t>
  </si>
  <si>
    <t>Freedom Of Information Act (FOIA)</t>
  </si>
  <si>
    <t>Amadeo Law Firm</t>
  </si>
  <si>
    <t>Biesecker  Dutkanych</t>
  </si>
  <si>
    <t>Department of Commerce; Department of Labor; Department of the Treasury; General Services Administration; Office of the Secretary of Defense - Agencies</t>
  </si>
  <si>
    <t>Department of Commerce; Department of Navy</t>
  </si>
  <si>
    <t>MICHAEL  DANEKER</t>
  </si>
  <si>
    <t>Department of Commerce; Department of Navy; Department of the Air Force; Department of the Army; Maritime Admin</t>
  </si>
  <si>
    <t>Department of Commerce; Department of Navy; Office of the Secretary of Defense - Agencies</t>
  </si>
  <si>
    <t>Michael  Daneker</t>
  </si>
  <si>
    <t>Department of Commerce; Department of the Army; Department of the Treasury; General Services Administration</t>
  </si>
  <si>
    <t>Department of Commerce; Department of the Treasury; General Services Administration</t>
  </si>
  <si>
    <t>Department of Commerce; Department of Transportation</t>
  </si>
  <si>
    <t>Bernstein &amp; Lipsett</t>
  </si>
  <si>
    <t xml:space="preserve">29-USC-216 CT OF Claims  </t>
  </si>
  <si>
    <t>FLSA Penalties - Attny Fees&amp;Costs</t>
  </si>
  <si>
    <t>Department of Commerce; Fish &amp; Wildlife Svc; Natl Marine Fisher</t>
  </si>
  <si>
    <t>Department of Education</t>
  </si>
  <si>
    <t>MICHAEL S SORGEN</t>
  </si>
  <si>
    <t>Department of Energy</t>
  </si>
  <si>
    <t>ALEX  TOMASZCUK;WINTHROP  SHAW PITTMAN LLP</t>
  </si>
  <si>
    <t>COWAN MOORE; PLLC</t>
  </si>
  <si>
    <t>LEAVY SCHULTZ DAVIS &amp; FEARING PS IOLTA</t>
  </si>
  <si>
    <t>DOMINION ECONOMIC ANALYSIS;STRUCTURED FINANICAL ASSOCIATES INC</t>
  </si>
  <si>
    <t>Department of Energy; Department of Navy; Department of the Air Force; Department of the Army; National Aeronautics and Space Administration</t>
  </si>
  <si>
    <t>Department of Energy; Department of the Air Force</t>
  </si>
  <si>
    <t>Susanne M Herald</t>
  </si>
  <si>
    <t>Department of Energy; General Services Administration</t>
  </si>
  <si>
    <t>Department of Health and Human Services</t>
  </si>
  <si>
    <t>Lori M Bencoe</t>
  </si>
  <si>
    <t>LAW OFC OF JOHN R WESTERMAN CHTD TR ACCT</t>
  </si>
  <si>
    <t>Buxbaum Daue &amp;  Fitzpatrick IOLTA Trust Fund;Craig  Daue</t>
  </si>
  <si>
    <t xml:space="preserve">5-USC-3330c              </t>
  </si>
  <si>
    <t>Veterans' Preference (Attny Fees&amp;Expense)</t>
  </si>
  <si>
    <t>DONALD G GILPIN;GILPIN &amp; KEEFE PC</t>
  </si>
  <si>
    <t>Department of Health and Human Services; Indian Health Svc</t>
  </si>
  <si>
    <t>PATRICK W SULLIVAN PC/IOLTA ACCT;PIA SALAZAR/PATRICK SULLIVAN;SALAZAR &amp; SULLIVAN</t>
  </si>
  <si>
    <t>GLENDELL  NIX;NIX &amp; MCINTYRE LLP CLIENT TR ACCT</t>
  </si>
  <si>
    <t>JIM J VALCARCE</t>
  </si>
  <si>
    <t>Jose De Jesus  Rivera;Miller Pitt Feldman  &amp; MCanally Trust</t>
  </si>
  <si>
    <t>Department of Housing and Urban Development</t>
  </si>
  <si>
    <t>ACLU OF MARYLAND;BROWN; GOLDSTEIN &amp; LEVY;BROWN; GOLDSTEIN &amp; LEVY ESCROW ACCT;CROWELL &amp; MORING</t>
  </si>
  <si>
    <t xml:space="preserve">42-USC-1988              </t>
  </si>
  <si>
    <t>Civil Rights - Attorney Fees</t>
  </si>
  <si>
    <t>Ballard Spahr LLP</t>
  </si>
  <si>
    <t>Broadview Apartments Company</t>
  </si>
  <si>
    <t>28-USC-1491 Implied Contr</t>
  </si>
  <si>
    <t>Breach of Implied Contract</t>
  </si>
  <si>
    <t>STEVEN  GORDON</t>
  </si>
  <si>
    <t xml:space="preserve">42-USC-3613(c)           </t>
  </si>
  <si>
    <t>Attorney Fees Only</t>
  </si>
  <si>
    <t>Taft; Stettinius &amp; Hollister; LLP</t>
  </si>
  <si>
    <t>Department of Housing and Urban Development; Small Business Administration</t>
  </si>
  <si>
    <t>LANDSKRONER GRIECO MADDEN; LLC</t>
  </si>
  <si>
    <t>Department of Justice</t>
  </si>
  <si>
    <t>Lawrence D Rosenberg</t>
  </si>
  <si>
    <t xml:space="preserve">28-USC-2412(b)           </t>
  </si>
  <si>
    <t>EAJA Attorny Fees</t>
  </si>
  <si>
    <t>SOSSLAU &amp; KOHLER</t>
  </si>
  <si>
    <t>NILES BARTON &amp; WILMER LLP</t>
  </si>
  <si>
    <t>The Mehle Law Firm PLLC</t>
  </si>
  <si>
    <t>JAY J LEE</t>
  </si>
  <si>
    <t>Davis Wright &amp; Tremaine LLP</t>
  </si>
  <si>
    <t xml:space="preserve">18-USC-983               </t>
  </si>
  <si>
    <t>Civil Forfeiture - Legal Services Corp fees</t>
  </si>
  <si>
    <t>McNees Wallace &amp;  Nurick General Account</t>
  </si>
  <si>
    <t>SHEFSKY &amp; FROELICH; LTD</t>
  </si>
  <si>
    <t>DIVINCENZO SCHOENFIELD SWARTZMAN;RICK M SCHOENFIELD</t>
  </si>
  <si>
    <t>DAVID  GARFIELD</t>
  </si>
  <si>
    <t>MARY L SFASCIOTTI</t>
  </si>
  <si>
    <t>LAW OFFICE OF ROBERT L. LEWIS</t>
  </si>
  <si>
    <t xml:space="preserve">42-USC-405               </t>
  </si>
  <si>
    <t>Social Security Appeals</t>
  </si>
  <si>
    <t>VAN DER HOUT BRIGAGLIANO &amp; NIGHTINGALE</t>
  </si>
  <si>
    <t>BARBARA A SUSMAN</t>
  </si>
  <si>
    <t xml:space="preserve">18-USC-981               </t>
  </si>
  <si>
    <t>Civil Forfeiture</t>
  </si>
  <si>
    <t>Benjamin  Pavone</t>
  </si>
  <si>
    <t>ROBERT L LEWIS</t>
  </si>
  <si>
    <t>RACHLIS DURHAM DUFF &amp; ADLER</t>
  </si>
  <si>
    <t xml:space="preserve">31USC1304b28USC2516b     </t>
  </si>
  <si>
    <t>Interest- Unsuccessful Appeal (S.Ct)</t>
  </si>
  <si>
    <t>RIOS &amp; CRUZ PS</t>
  </si>
  <si>
    <t>JAMES  BOPP</t>
  </si>
  <si>
    <t>SAHER J MACARIUS</t>
  </si>
  <si>
    <t>JULIANE  BALLIRO;US DISTRICT COURT DISTRICT OF MA</t>
  </si>
  <si>
    <t>Jesse A Cripps</t>
  </si>
  <si>
    <t>JUDITH  BERKAN</t>
  </si>
  <si>
    <t>Freedman Boyd et al IOLTA;Nancy  Hollander</t>
  </si>
  <si>
    <t>ROBERT M HINOJOSA</t>
  </si>
  <si>
    <t>JONES LAW FIRM</t>
  </si>
  <si>
    <t>KENNETH M KRAMER</t>
  </si>
  <si>
    <t>RAED  GONZALEZ</t>
  </si>
  <si>
    <t>O'MELVENY &amp; MYERS LLP</t>
  </si>
  <si>
    <t>RICHARD D WAYNE</t>
  </si>
  <si>
    <t>CHARLES P ROBERTS</t>
  </si>
  <si>
    <t>MICHAEL A CARVEN</t>
  </si>
  <si>
    <t>O'MELVENY &amp; MYERS LLP;SRI  SRINIVASAN</t>
  </si>
  <si>
    <t>JASON C HUNTER</t>
  </si>
  <si>
    <t>Department of Justice; Department of the Army</t>
  </si>
  <si>
    <t>MELISSA A GUIDDY</t>
  </si>
  <si>
    <t>Lee; Eadon  Isgett Popwell &amp; Readon</t>
  </si>
  <si>
    <t>Department of Justice; Department of Veterans Affairs</t>
  </si>
  <si>
    <t>Barry P Ginsberg</t>
  </si>
  <si>
    <t>Department of Justice; Drug Enforcement Adm</t>
  </si>
  <si>
    <t>LISA A TAYLOR</t>
  </si>
  <si>
    <t>Department of Justice; General Services Administration; Office of the Secretary of Defense - Agencies</t>
  </si>
  <si>
    <t xml:space="preserve">42-USC-7607              </t>
  </si>
  <si>
    <t>Clean Air Act - Judicial Review (Attny Fees &amp; Costs)</t>
  </si>
  <si>
    <t>Department of Justice; Homeland Security</t>
  </si>
  <si>
    <t>LAW OFFICE OF RICHARD D GRONNA CLIENT'S;TR ACCT IOLTA</t>
  </si>
  <si>
    <t>Department of Justice; Social Security Administration</t>
  </si>
  <si>
    <t>OCCUDATA</t>
  </si>
  <si>
    <t>Ann  Bell</t>
  </si>
  <si>
    <t>BINDER &amp; BINDER; P.C.</t>
  </si>
  <si>
    <t>DOUGLAS C.J.  BRIGANDI</t>
  </si>
  <si>
    <t>Julie  Atkins</t>
  </si>
  <si>
    <t>ANNE  KYSAR</t>
  </si>
  <si>
    <t>JOSEPH D CLARK</t>
  </si>
  <si>
    <t>Department of Labor</t>
  </si>
  <si>
    <t>John S Evangelisti</t>
  </si>
  <si>
    <t>Jeffrey W Bennitt</t>
  </si>
  <si>
    <t>Department of Navy</t>
  </si>
  <si>
    <t>SWANSON LATHEN ALEXANDER MCCANN ETC</t>
  </si>
  <si>
    <t>ROBERT E. BROWN; ATTY PLLC TRUST ACCT</t>
  </si>
  <si>
    <t>STEVEN J. BAKER; PA</t>
  </si>
  <si>
    <t>Michael F Walsh;Ringler Associates  North Shore Inc</t>
  </si>
  <si>
    <t>Tonio  Sacco</t>
  </si>
  <si>
    <t>JAMES G NOUCAS</t>
  </si>
  <si>
    <t xml:space="preserve">28-USC-2672 Traffic      </t>
  </si>
  <si>
    <t>Federal Tort Claims Act/Admin/Traffic</t>
  </si>
  <si>
    <t>Edwards  Ragatz PA IOTA TRT;Robert R Underwood</t>
  </si>
  <si>
    <t xml:space="preserve">46-USC-30901et seq       </t>
  </si>
  <si>
    <t>Suits In Admiralty Act</t>
  </si>
  <si>
    <t>MASON; CAWOOD &amp; HOBBS PA;PAMELA J DIEDRICH</t>
  </si>
  <si>
    <t>Scott S Harris</t>
  </si>
  <si>
    <t>RINGLER ASSOCIATES;SEAN B CRONIN</t>
  </si>
  <si>
    <t>JMW SETTLEMENTS INC;SEAN B CRONIN</t>
  </si>
  <si>
    <t>THOMPSON; SLAGLE &amp; HANNAN;LLC</t>
  </si>
  <si>
    <t>McNichols; Beers; LLP</t>
  </si>
  <si>
    <t>C Brooks  Cutter</t>
  </si>
  <si>
    <t>Bonney; Allenberg &amp; O'Reilly; P.C.</t>
  </si>
  <si>
    <t>ROSENBERG &amp; MCKAY</t>
  </si>
  <si>
    <t>CHILES &amp; ASSOCIATES</t>
  </si>
  <si>
    <t>David F Turlington</t>
  </si>
  <si>
    <t>Gary M Cohen;National  Settlement Consultants</t>
  </si>
  <si>
    <t>Thomas M Lake</t>
  </si>
  <si>
    <t>CORBETT LAW FIRM; P.C.</t>
  </si>
  <si>
    <t>LAW OFFICES OF STUART D MARKOWITZ PC</t>
  </si>
  <si>
    <t>PA TR ACCT;VOLPE BAJALIA WICKES; ROGERSON &amp; WACHS;WILLIAM L ROELKE</t>
  </si>
  <si>
    <t>JAMES  CONLEY;RICHARD  WURDEMAN</t>
  </si>
  <si>
    <t>Goodman; Allen &amp; Filetti</t>
  </si>
  <si>
    <t>JOHN B WELLS</t>
  </si>
  <si>
    <t>STEIN MITCHELL &amp; MUSE LLP</t>
  </si>
  <si>
    <t>P TERRELL HOGAN ELLIS YEGELWEL PA</t>
  </si>
  <si>
    <t>Robert D Shoecraft</t>
  </si>
  <si>
    <t>BREIT DRESCHER &amp; IMPREVENTO PC</t>
  </si>
  <si>
    <t xml:space="preserve">46-USC-31101et seq       </t>
  </si>
  <si>
    <t>Public Vessels Act</t>
  </si>
  <si>
    <t>CARL S YOUNG</t>
  </si>
  <si>
    <t>GEBHARDT &amp; ASSOCIATES LLP</t>
  </si>
  <si>
    <t>JAMES K SELLS</t>
  </si>
  <si>
    <t>Law Offices of A. Sam Akintimoye</t>
  </si>
  <si>
    <t>ERIN TOOMEY/GEORGE ASH/SEAN FOLEY</t>
  </si>
  <si>
    <t xml:space="preserve">5 AMND TAK               </t>
  </si>
  <si>
    <t>5th Amendment Taking/Inverse Condemnation</t>
  </si>
  <si>
    <t>CLARK PARTINGTON HART &amp; HART</t>
  </si>
  <si>
    <t>MICHLES &amp; BOOTH PA IOTA TR ACCT</t>
  </si>
  <si>
    <t>HAMM MILBY &amp; RIDINGS LAW OFFICES</t>
  </si>
  <si>
    <t>AVV. ERASMO  FIUMARA</t>
  </si>
  <si>
    <t xml:space="preserve">28-USC-2414              </t>
  </si>
  <si>
    <t>Attny Gen Cert - Settlements/State&amp;Foreign Cts ONLY</t>
  </si>
  <si>
    <t>JOHN  ASTUNO</t>
  </si>
  <si>
    <t>SAWYER &amp; MYERBERG PA ESCROW ACCT</t>
  </si>
  <si>
    <t>Nicholas &amp; Tangeman; LLC Trust Acct.</t>
  </si>
  <si>
    <t>POLITO &amp; QUINN LLC</t>
  </si>
  <si>
    <t>MICHAEL H FERRING</t>
  </si>
  <si>
    <t>James P Rigano</t>
  </si>
  <si>
    <t>BRUCE J KORES &amp; ASSO IOLTA ACCT</t>
  </si>
  <si>
    <t xml:space="preserve">31-USC-1304(b)-FTCA      </t>
  </si>
  <si>
    <t>Interest - Unsuccessful Appeal - FTCA</t>
  </si>
  <si>
    <t>John R Salazar PC Attorney at Law</t>
  </si>
  <si>
    <t>NEIL  LOWENSTEIN</t>
  </si>
  <si>
    <t>PHILIP E BECK</t>
  </si>
  <si>
    <t>Rose Klein &amp; Marias LLP</t>
  </si>
  <si>
    <t>AVV. LUIGI  TREMANTE;CNREURAFSWA COMPTROLLER BILL PAYING OFC</t>
  </si>
  <si>
    <t>DAVID P HORTON</t>
  </si>
  <si>
    <t>AVV. LUIGI  TREMANTE</t>
  </si>
  <si>
    <t>CRONIN &amp; MAXWELL PL</t>
  </si>
  <si>
    <t>Cronin &amp; Maxwell; PL</t>
  </si>
  <si>
    <t>SEAN B CRONIN</t>
  </si>
  <si>
    <t>Department of Navy; Department of the Air Force</t>
  </si>
  <si>
    <t>Department of Navy; Department of the Air Force; Department of the Army; Office of the Secretary of Defense - Agencies</t>
  </si>
  <si>
    <t>Department of Navy; Department of the Army</t>
  </si>
  <si>
    <t>Department of Navy; Department of the Army; General Services Administration</t>
  </si>
  <si>
    <t>Department of Navy; Marine Corps</t>
  </si>
  <si>
    <t>Department of State</t>
  </si>
  <si>
    <t>VICTOR MANUEL  RODRIGUEZ</t>
  </si>
  <si>
    <t>Travis; Pravlik &amp; Milliam; LLP</t>
  </si>
  <si>
    <t>George M Coburn</t>
  </si>
  <si>
    <t>Heller; Huron; Chertkof; Lerner; Simon</t>
  </si>
  <si>
    <t>HILLARY  SCHWAB;HILLARY SCHWAB ATTORNEY</t>
  </si>
  <si>
    <t>Gary Brown and Associates</t>
  </si>
  <si>
    <t>JONES;BLECHMAN;WOLTZ &amp; KELLY</t>
  </si>
  <si>
    <t>Swick &amp; Shapiro</t>
  </si>
  <si>
    <t>Swick &amp; Shapiro; P.C.</t>
  </si>
  <si>
    <t>Department of State; Homeland Security</t>
  </si>
  <si>
    <t>Linton  Joaquin</t>
  </si>
  <si>
    <t>Department of the Air Force</t>
  </si>
  <si>
    <t>Kutak Rock LLP</t>
  </si>
  <si>
    <t>JAMES L DAVIS;TASHA  PATAWARAN</t>
  </si>
  <si>
    <t>4STRUCTURES.COM; LLC TRUST ACCOUNT;THOMAS Q KEEFE</t>
  </si>
  <si>
    <t>MCMATH WOODS PA</t>
  </si>
  <si>
    <t>IOLTA TR ACCT;THOMAS I TEMPLE;WILLIAM R SATTERBERG ATTORNEY AT LAW</t>
  </si>
  <si>
    <t>JEFFREY C ANDERSON</t>
  </si>
  <si>
    <t>HUVER &amp; ASSOCIATES INC SETTLEMENT ACCT;SAM  MCGEE</t>
  </si>
  <si>
    <t>BRUCE K SHAPIRO ATTORNEY AT LAW CLIENT;FUND ACCT</t>
  </si>
  <si>
    <t>LAWRENCE J SOUZA</t>
  </si>
  <si>
    <t>JOHNSON ANDREWS &amp; SKINNER</t>
  </si>
  <si>
    <t>CHARLES W COE IOLTA TRUST</t>
  </si>
  <si>
    <t>DAVID A BLACK;FRED T STAPP;HARRELL &amp; HARRELL</t>
  </si>
  <si>
    <t>GARY LEE PRINTY ATTORNEY AT LAW</t>
  </si>
  <si>
    <t>BRANTON &amp; HALL PC;STILL MEDLEY LAW FIRM PLLC</t>
  </si>
  <si>
    <t>Young Williams P.A.</t>
  </si>
  <si>
    <t>RANDALL DANSKIN PS</t>
  </si>
  <si>
    <t>Christopher C Fallon;Cozen  O'Conner IOLTA</t>
  </si>
  <si>
    <t>MARIE A MATTOX PA TR ACCT</t>
  </si>
  <si>
    <t>Ronald G Gabler</t>
  </si>
  <si>
    <t>G KAYLE  DOMANN</t>
  </si>
  <si>
    <t>DANOCORP INC PREMIUM ACCT;DAVID  DOMINA</t>
  </si>
  <si>
    <t>Gerald  Cunningham</t>
  </si>
  <si>
    <t>FRANK R SOUTHERS; PC IOLTA ACCT</t>
  </si>
  <si>
    <t>The Gardner Law Firm</t>
  </si>
  <si>
    <t>J DOYLE  FULLER;THOMAS R DEBRAY</t>
  </si>
  <si>
    <t>JEANETTE  RICE</t>
  </si>
  <si>
    <t xml:space="preserve">5-USC-5596               </t>
  </si>
  <si>
    <t>Back Pay Act</t>
  </si>
  <si>
    <t>AVV. FABRIZIO  QUERIN</t>
  </si>
  <si>
    <t>GEORGE  FLEISCHMANN</t>
  </si>
  <si>
    <t>JONATHAN  BAILEY</t>
  </si>
  <si>
    <t>AXTELL &amp; BRIGGS</t>
  </si>
  <si>
    <t>LAW OFFICES OF JEFFERY C. ANDERSON</t>
  </si>
  <si>
    <t>Jacqueline V Frederick</t>
  </si>
  <si>
    <t>Randy L Wagner</t>
  </si>
  <si>
    <t>Department of the Air Force; Department of the Army</t>
  </si>
  <si>
    <t>Department of the Air Force; Department of the Army; General Services Administration</t>
  </si>
  <si>
    <t>Department of the Air Force; Department of the Army; Office of the Secretary of Defense - Agencies</t>
  </si>
  <si>
    <t>Department of the Air Force; National Aeronautics and Space Administration; Office of the Secretary of Defense - Agencies</t>
  </si>
  <si>
    <t>Department of the Army</t>
  </si>
  <si>
    <t>DARREN  AITKEN</t>
  </si>
  <si>
    <t>McKenna; Long &amp; Aldridge; LLP</t>
  </si>
  <si>
    <t>Salvatore P Vito</t>
  </si>
  <si>
    <t>Novak Juhase &amp; Stern</t>
  </si>
  <si>
    <t>THOMAS C OKEEFE</t>
  </si>
  <si>
    <t>John R Wilson;Law office of Rush;  Hannula; Harkins &amp; Kyler</t>
  </si>
  <si>
    <t>Goldberg  Finnegan &amp; Mester;Kevin J Finnegan</t>
  </si>
  <si>
    <t>JUSTIN R MELAT</t>
  </si>
  <si>
    <t>JOHN P DAVIS III</t>
  </si>
  <si>
    <t>MIRACLE PRUZAN &amp; PRUZAN IOLTA</t>
  </si>
  <si>
    <t>DAVID T BONFIGLIO PC IOLTA TR</t>
  </si>
  <si>
    <t>Ryan  Krebs</t>
  </si>
  <si>
    <t>THOMAS A SOBECKI</t>
  </si>
  <si>
    <t>Cardaro &amp; Peek; LLC</t>
  </si>
  <si>
    <t>Bryan Cave LLP</t>
  </si>
  <si>
    <t>THE GIBBONS LAW FIRM</t>
  </si>
  <si>
    <t>STUDIO LEGALE ASSOCIATO</t>
  </si>
  <si>
    <t>STUDIO LEGALE</t>
  </si>
  <si>
    <t>STUDIO LEGALE RORTORELLA</t>
  </si>
  <si>
    <t>JOHN  BRENNAN</t>
  </si>
  <si>
    <t>DYER GAROFALO MANN &amp; SCHULTZ;JOHN A SMALLEY</t>
  </si>
  <si>
    <t>CHAIKIN SHERMAN CAMMERATE SIEGEL</t>
  </si>
  <si>
    <t>ALPERN MYERS STUART LLC COL TAF TR ACCT;STEPHEN D HARRIS</t>
  </si>
  <si>
    <t>GREENSPOON MARDER PA TR ACCT;MILTON  BLAUT</t>
  </si>
  <si>
    <t>DYER; GAROFALO; MANN &amp; SCHULTZ</t>
  </si>
  <si>
    <t>JAMES E PUGA</t>
  </si>
  <si>
    <t>FARGASON BOOTH ST CLAIR RICHARDS</t>
  </si>
  <si>
    <t>DANIEL G KAY ATTORNEY AT LAW TR ACCT</t>
  </si>
  <si>
    <t>STEWART C CRAWFORD JR</t>
  </si>
  <si>
    <t>John K Anderson</t>
  </si>
  <si>
    <t>CYNTHIA L POLLICK;THE EMPLOYMENT LAW FIRM IOLTA ATT TR</t>
  </si>
  <si>
    <t>EROL  OZCAN;KAYA  OLMEZ</t>
  </si>
  <si>
    <t>DRAZIN AND WARSHAW PC</t>
  </si>
  <si>
    <t>MICHAEL J KOEHLER;NICHOLAS PEROT SMITH KOEHLER &amp; WALL</t>
  </si>
  <si>
    <t>Welebir Tierney &amp; Weck</t>
  </si>
  <si>
    <t>DANIEL G HEPPNER</t>
  </si>
  <si>
    <t>BLASINGAME BURCH GARRARD &amp; ASHLEY PC;GARY B BLASINGAME</t>
  </si>
  <si>
    <t>PAUL D REINSDORF</t>
  </si>
  <si>
    <t>TERSCHAN STEINLE &amp; NESS</t>
  </si>
  <si>
    <t>LAW OFFICES OF SCOTT A. WOLINETZ</t>
  </si>
  <si>
    <t>Law Offices of David Sheldon</t>
  </si>
  <si>
    <t>LAW OFFICES OF JEFFREY C ANDERSON</t>
  </si>
  <si>
    <t>Patrick Malone &amp; Assoc. P.C.</t>
  </si>
  <si>
    <t>Mark C Prugh</t>
  </si>
  <si>
    <t>Sandra J Sheppard</t>
  </si>
  <si>
    <t>AVV. PAOLO  BARTALENA;CHIARA  SERRADIMIGNI</t>
  </si>
  <si>
    <t>ZAJAC &amp; ARIAS LLC</t>
  </si>
  <si>
    <t>JOHN T DALL VECHIA</t>
  </si>
  <si>
    <t>THE CARLSON LAW FIRM PC IOLTA</t>
  </si>
  <si>
    <t>RINGLER ASSOCIATES</t>
  </si>
  <si>
    <t>SHIM AND CHANG AAL ALC</t>
  </si>
  <si>
    <t>JMW SETTLEMENT INC CLIENT FUNDS ACCT;LEONARD &amp; CUMMINGS LLC</t>
  </si>
  <si>
    <t>CHRISTOPHER P JANES</t>
  </si>
  <si>
    <t>HARRY ANDUZE  MONTANO;JOSE MORALES  BOSCIO</t>
  </si>
  <si>
    <t>Leslie J Levine</t>
  </si>
  <si>
    <t>Gary O Bruce</t>
  </si>
  <si>
    <t>William  Winingham</t>
  </si>
  <si>
    <t>The Cowen Law Group</t>
  </si>
  <si>
    <t>HANDLER HENNING &amp; ROSENBERG</t>
  </si>
  <si>
    <t>AVV. UMBERTO  CERRAI;ROBERTA  MARIOTTI</t>
  </si>
  <si>
    <t>KENNETH  COHEN</t>
  </si>
  <si>
    <t>ROBERT A SPARKS ATTY TR-ACCT</t>
  </si>
  <si>
    <t>LINDA  SOZZI</t>
  </si>
  <si>
    <t>MESIROW FINANCIAL STRUCTURED SETTLEMENTS</t>
  </si>
  <si>
    <t>HEIDI  KETTLER</t>
  </si>
  <si>
    <t>SAM Z GDANSKI</t>
  </si>
  <si>
    <t>Department of the Interior</t>
  </si>
  <si>
    <t>John  Berry</t>
  </si>
  <si>
    <t>Harold  Hyams</t>
  </si>
  <si>
    <t>Howard  Brenner</t>
  </si>
  <si>
    <t>Fredric M Gold</t>
  </si>
  <si>
    <t>CHARLOTTE N SWEENEY</t>
  </si>
  <si>
    <t>Gary K Kahn;Jack  Tuholske;Sarah K McMillan</t>
  </si>
  <si>
    <t>JOSHUA L WEEMS</t>
  </si>
  <si>
    <t>Department of the Interior; Fish &amp; Wildlife Svc</t>
  </si>
  <si>
    <t>Department of the Interior; Forest Service</t>
  </si>
  <si>
    <t>Department of the Interior; Natl Park Service</t>
  </si>
  <si>
    <t>NANCY  FLICKINGER</t>
  </si>
  <si>
    <t>Department of the Treasury</t>
  </si>
  <si>
    <t>GREGORY J GREBE TR ACCT</t>
  </si>
  <si>
    <t>Marisa  Williams; Williams &amp; Rhodes</t>
  </si>
  <si>
    <t>Jay L Edelstein</t>
  </si>
  <si>
    <t>JODI P FELDMAN</t>
  </si>
  <si>
    <t>Department of Transportation</t>
  </si>
  <si>
    <t>Department of Transportation; Environmental Protection Agency</t>
  </si>
  <si>
    <t>Department of Veterans Affairs</t>
  </si>
  <si>
    <t>WALTER L BOYAKI/RALPH MIRANDA TR ACCT</t>
  </si>
  <si>
    <t>Donne L Colton</t>
  </si>
  <si>
    <t>Andrew G Slutkin;Silverman; Thompson  Slutkin &amp; White; LLC Clnt Trt</t>
  </si>
  <si>
    <t>Benjamin J Butts</t>
  </si>
  <si>
    <t>MCCRANEY MONTAGNET &amp; QUINN PLLC</t>
  </si>
  <si>
    <t>THE LAW FIRM OF DE JESUS &amp; CUPRILL; P.A.</t>
  </si>
  <si>
    <t>Bill  Wade;The Cochran  Firm</t>
  </si>
  <si>
    <t>Angela  Hatley</t>
  </si>
  <si>
    <t>Bahnmuller Goldman  McElveen Ford Bultman;Diane M Rogriguez</t>
  </si>
  <si>
    <t>MARSHALL E KRESMAN</t>
  </si>
  <si>
    <t>Ashwin Virji  Ladva</t>
  </si>
  <si>
    <t>DENISE M HEVICON AAL CLIENTS ACCT IOLTA</t>
  </si>
  <si>
    <t>LAW OFFICES OF MARY M DRYOVAGE</t>
  </si>
  <si>
    <t>PAUL F CONDZDAL</t>
  </si>
  <si>
    <t>WILLIAM ORSON WOODALL; JR; INC</t>
  </si>
  <si>
    <t>Hal K Gillespie</t>
  </si>
  <si>
    <t>GARY EUBANKS &amp; ASSOCIATES IOLTA ACCT;HUGH F SPINKS</t>
  </si>
  <si>
    <t>WOOMER &amp; HALL; LLP</t>
  </si>
  <si>
    <t>ALTERS BOLDT BROWN RASH &amp; CULMO PA IOLTA</t>
  </si>
  <si>
    <t>LAW OFFICE OF RICHARD A HRICIK PA</t>
  </si>
  <si>
    <t>Bogin; Munns &amp; Munns; P.C.</t>
  </si>
  <si>
    <t>Jonathan L Gould</t>
  </si>
  <si>
    <t>Robert B Lewis</t>
  </si>
  <si>
    <t>JOSEPH D MAGRI;TR ACCT OF MERKLE &amp; MAGRI &amp; MEYTHALER PA</t>
  </si>
  <si>
    <t>ANDREW  SCHWARTZ;ANDREW SCHWARTZ ATTORNEY CLIENT TR ACCT</t>
  </si>
  <si>
    <t>Ashcraft  Gerel LLP;Sidney L Schupak</t>
  </si>
  <si>
    <t>SANGA  TURBULL;TR ACCT OF HARDAWAY TURNBULL LAW FIRM</t>
  </si>
  <si>
    <t>GREENBERG &amp; GREENBERG LLP</t>
  </si>
  <si>
    <t>DONALD W LOJEK;LOJEK LAW OFFICE CHARTERED</t>
  </si>
  <si>
    <t>CHET G BOUDREAUX</t>
  </si>
  <si>
    <t>IOLA-RENE MYATT ATTY AT LAW;RENE  MYATT</t>
  </si>
  <si>
    <t>OFFICE OF W ROBB GRAHAM LLC</t>
  </si>
  <si>
    <t>SAMUEL M YAFFA</t>
  </si>
  <si>
    <t>Marcin  Lambirth</t>
  </si>
  <si>
    <t>Joshua D Hadiaris;Smith Elliot  Smith &amp; Garmey PA</t>
  </si>
  <si>
    <t>GLOWACKI &amp; ASSOCIATES CO LPA</t>
  </si>
  <si>
    <t>DEPT OF VA DATA THEFT LIT QUAL SETT ACCT;DONALD  COCKRILL;DOUGLAS  ROSINSKI;GARY  MASON;JEFFREY  GOLDENBERG;MARC  MEZIBOV;MARK  SMILOW;MURDOCK GOLDENBERG SCHNEIDER &amp; GROH LPA</t>
  </si>
  <si>
    <t>LUBIN &amp; MEYER PC</t>
  </si>
  <si>
    <t>ANTHONY P DONOGHUE</t>
  </si>
  <si>
    <t>HILL &amp; BEYER APLC TRUST ACCT</t>
  </si>
  <si>
    <t>EDWARD J OBRIEN</t>
  </si>
  <si>
    <t>C J HICKS;DONALD C SIDAK</t>
  </si>
  <si>
    <t>MICHAEL D PORTNOY;THE ESCROW ACCT OF LAW OFFICE OF;W ROBB  GRAHAM</t>
  </si>
  <si>
    <t>HUNTER &amp; MORTON</t>
  </si>
  <si>
    <t>Gibson Lefler  &amp; Associates;Michael F Gibson</t>
  </si>
  <si>
    <t>DONNA H CLANCY</t>
  </si>
  <si>
    <t>Law Offices of Sean M. Burke</t>
  </si>
  <si>
    <t>Eric D Krajewski</t>
  </si>
  <si>
    <t>J. EDWARD HOLLINGTON &amp; ASSOCIATES PA</t>
  </si>
  <si>
    <t>RODERICK E EDMOND</t>
  </si>
  <si>
    <t>FAUSONE BOHN LLP</t>
  </si>
  <si>
    <t>WILLIAM H CLEAVELAND</t>
  </si>
  <si>
    <t>Anita  Johnson;Lubin  Meyer</t>
  </si>
  <si>
    <t>MIRANDA-CARDENAS &amp; CORDOVA LAW FIRM</t>
  </si>
  <si>
    <t>Law office of Renee L. Campbell</t>
  </si>
  <si>
    <t>EUEL W KINSEY;MCKEEN &amp; ASSO PC CLIENT TR ACCT IOLTA</t>
  </si>
  <si>
    <t>KNIGHT DAHOOD EVERETT SIEVERS &amp; DAHOOD</t>
  </si>
  <si>
    <t>TIMOTHY P OBRIEN</t>
  </si>
  <si>
    <t>EDWIN D ABEL INC IOLTA</t>
  </si>
  <si>
    <t>FOLEY MCLANE FOLEY MCDONALD &amp; MACGREGOR</t>
  </si>
  <si>
    <t>ABOUD &amp; ABOUD; PC TRUST ACCT</t>
  </si>
  <si>
    <t>Richard  Cohn</t>
  </si>
  <si>
    <t>JAMES D CALDWELL</t>
  </si>
  <si>
    <t>Deborah  Sanders-Kane</t>
  </si>
  <si>
    <t>MICHAEL P SMITH</t>
  </si>
  <si>
    <t>GEORGE  WISE;IOLTA FOUNDATION;THE BRAD HENDRICKS LAW FIRM ARKANSAS</t>
  </si>
  <si>
    <t>David C Bean;Garrett Law  Office PC Trt Account</t>
  </si>
  <si>
    <t>DIVINCENZO SCHOENFIELD SWARTZMAN IOLTA;RICK  SCHOEFIELD</t>
  </si>
  <si>
    <t>LEEPER &amp; LEEPER</t>
  </si>
  <si>
    <t>ALBERT F HOFELD LTD</t>
  </si>
  <si>
    <t>ATTORNEY TRUST ACCT;LAW OFFICES OF W ROBB GRAHAM LLC</t>
  </si>
  <si>
    <t>WARSHAFSKY ROTTER TARNOFF &amp; BLOCK S.C.</t>
  </si>
  <si>
    <t>VICTOR M SERBY</t>
  </si>
  <si>
    <t>SCOTT R McMILLAN</t>
  </si>
  <si>
    <t>Felipe  Parker</t>
  </si>
  <si>
    <t>RAWLS &amp; MCNELIS TRUST ACCOUNT</t>
  </si>
  <si>
    <t>DEBRA A NELSON;EPS SETTLEMENTS GROUP SETTLEMENT TR ACCT;WILLIAM L MUNDY</t>
  </si>
  <si>
    <t>JOSE F QUETGLAS</t>
  </si>
  <si>
    <t>KOOL;QUELLER FISHER DIENST SERRINS WASHOR &amp;</t>
  </si>
  <si>
    <t>MATHEW &amp; ASSOCIATES</t>
  </si>
  <si>
    <t>LAWYERS TR FUND FOR CATES LAW FIRM LLC</t>
  </si>
  <si>
    <t>DAMIANI &amp; DAMIANI PC</t>
  </si>
  <si>
    <t>THE COLLERAN FIRM</t>
  </si>
  <si>
    <t>LEVINSON AXELROD; P.C.</t>
  </si>
  <si>
    <t>CAROSELLI BEACHLER MCTIERNAN &amp; CONBOY;JOHN W MCTIERNAN</t>
  </si>
  <si>
    <t>RAYMOND M SCHLATHER;SCHLATHER STUMBAR PARKS &amp; SALK LLP</t>
  </si>
  <si>
    <t>IOLTA ACCT-GOODMAN ALLEN &amp; FILETTI PLLC</t>
  </si>
  <si>
    <t>RUNDLETT LAW FIRM; PLLC</t>
  </si>
  <si>
    <t>ADAMS; JORDAN &amp; TREADWELL; P.C.</t>
  </si>
  <si>
    <t>SIBBERNSEN &amp; STRIGENZ; P.C. TRUST ACCT</t>
  </si>
  <si>
    <t>BAHNMULLER GOLDMAN  MCELVEEN FORD BULTMAN;DIANE M RODRIGUEZ</t>
  </si>
  <si>
    <t>BROCK D DUPRE</t>
  </si>
  <si>
    <t xml:space="preserve">FRCP 16                  </t>
  </si>
  <si>
    <t>Rule 16 - Failure To Obey Pretrial/Sche Ord</t>
  </si>
  <si>
    <t>W R GRAHAM</t>
  </si>
  <si>
    <t>WINCKLER &amp; HARVEY; LLP IOLTA TR-ACCT</t>
  </si>
  <si>
    <t>MINTZ LAW FIRM; LLC COLTAF TR-ACCT</t>
  </si>
  <si>
    <t>THE SNOW LAW FIRM IOLTA</t>
  </si>
  <si>
    <t>Ted R Frame</t>
  </si>
  <si>
    <t>JOHNSON AND BROWN PC</t>
  </si>
  <si>
    <t>S D ROBERTS MOORE</t>
  </si>
  <si>
    <t>JAMES T POTTER</t>
  </si>
  <si>
    <t>MARK E SEITELMAN</t>
  </si>
  <si>
    <t>CIRIGNANI HELLER &amp; HARMAN LLP</t>
  </si>
  <si>
    <t>Griffin &amp;  Linder;Paul R Linder</t>
  </si>
  <si>
    <t>N ALBERT BACHARACH JR</t>
  </si>
  <si>
    <t>ANTHONY M RUSSELL</t>
  </si>
  <si>
    <t>HEENAN LAW FIRM IOLTA</t>
  </si>
  <si>
    <t>JAMES BATES POPE &amp; SPIVEY LLP</t>
  </si>
  <si>
    <t>FARACI LANGE; LLP</t>
  </si>
  <si>
    <t>ARKANSAS IOLTA FOUNDATION COOPER &amp;;BAYLESS PA;MARK F COOPER</t>
  </si>
  <si>
    <t>THE KANSAS BAR FOUNDATION;THE LAW OFFICES OF DOUGLAS L CARTER PC</t>
  </si>
  <si>
    <t>CHARFOOS &amp; CHRISTENSEN PC</t>
  </si>
  <si>
    <t>COCHRAN AND MONTGOMERY;JAMES M SANFORD</t>
  </si>
  <si>
    <t>DR. SHEZAD  MALIK</t>
  </si>
  <si>
    <t xml:space="preserve">28-USC-2672 Med Mal      </t>
  </si>
  <si>
    <t>Federal Tort Claims Act/Admin/Med Mal</t>
  </si>
  <si>
    <t>THE KIPNESS LAW FIRM PC</t>
  </si>
  <si>
    <t>MORELLI  RATNER</t>
  </si>
  <si>
    <t>Paul  Dominguez</t>
  </si>
  <si>
    <t>Luvera Law Firm</t>
  </si>
  <si>
    <t>Philip H Taylor M.D. J.D.</t>
  </si>
  <si>
    <t xml:space="preserve">29-USC-216 US Dict Ct    </t>
  </si>
  <si>
    <t>FLSA Penalties - Attny Fees&amp;Costs US Dict Court</t>
  </si>
  <si>
    <t>SANDERS &amp; SANDERS</t>
  </si>
  <si>
    <t>HEFNER EBERSPACHER TAPELLA ARMSTRONG</t>
  </si>
  <si>
    <t>MARSHALL LAW FIRM IOLTA TR ACCT</t>
  </si>
  <si>
    <t>L R FRIED</t>
  </si>
  <si>
    <t>James  Gatzke</t>
  </si>
  <si>
    <t>Steve  Hamilton</t>
  </si>
  <si>
    <t>Law Offices of Arthur H. Barens;Shawn Perez; Esq</t>
  </si>
  <si>
    <t>The Frickey Law Firm</t>
  </si>
  <si>
    <t>RAWLS &amp; McNELIS - TRUST ACCT</t>
  </si>
  <si>
    <t>Moore; Walsh &amp; Albright LLC</t>
  </si>
  <si>
    <t>Haglund Kelley Horngren &amp; Jones LLP</t>
  </si>
  <si>
    <t xml:space="preserve">29-USC-206(d) CT of F Cl </t>
  </si>
  <si>
    <t>Equal Pay Act/FLSA</t>
  </si>
  <si>
    <t>Morgan &amp; Morgan</t>
  </si>
  <si>
    <t>Lumpkin Reeves &amp; Mestayer PLLC</t>
  </si>
  <si>
    <t>Luvera Law Office</t>
  </si>
  <si>
    <t>SHAPIRO BETTINGER CHASE LLP; TRUST ACCT</t>
  </si>
  <si>
    <t>GLEASON &amp; GLEASON LLC</t>
  </si>
  <si>
    <t xml:space="preserve">11-USC-362               </t>
  </si>
  <si>
    <t>Bankruptcy - Violation Of Automatic Stay</t>
  </si>
  <si>
    <t>CHRISTOPHER  FOX;OKLAHOMA BAR ASSN-IOLTA</t>
  </si>
  <si>
    <t>CRAIG L STAPLES</t>
  </si>
  <si>
    <t>C BRYANT  BOYDSTUN</t>
  </si>
  <si>
    <t>WILLIAM  NADAL</t>
  </si>
  <si>
    <t>FREDEKING &amp; FREDEKING LAW OFFICES; LC</t>
  </si>
  <si>
    <t>Julien  Schlesinger;SULIEN  SCHLESINGER</t>
  </si>
  <si>
    <t>Larrimore &amp; Farnish LLP</t>
  </si>
  <si>
    <t>ARCHULETA ALSAFFAR &amp; HIGGINBOTHAM;MEISROW FINANCIAL STRUCTURED SETTLEMENT</t>
  </si>
  <si>
    <t>EBERSTEIN &amp; WITHERITE LLP IOLTA</t>
  </si>
  <si>
    <t>PAUL  LEVITT</t>
  </si>
  <si>
    <t>William P Smith;Woods Oviatt  Gilman LLP</t>
  </si>
  <si>
    <t>RALPH B PINSKEY CLIENTS TRUST</t>
  </si>
  <si>
    <t>DEUTSCHER PLLC IOLTA ACT</t>
  </si>
  <si>
    <t>RATZAN &amp; RUBIO PA IOTA TR ACCT</t>
  </si>
  <si>
    <t>LOUIS H WATSON JR;LOUIS H WATSON JR PA</t>
  </si>
  <si>
    <t>Melville  Johnson</t>
  </si>
  <si>
    <t>SHERRY D DEJANES</t>
  </si>
  <si>
    <t>J LARRE LAW FIRM LLC</t>
  </si>
  <si>
    <t>WILLIAM E DORRIS</t>
  </si>
  <si>
    <t>BRICKERANDERSON; P.C.</t>
  </si>
  <si>
    <t>Klafter Olsen &amp; Lesser</t>
  </si>
  <si>
    <t>KECHES LAW GROUP</t>
  </si>
  <si>
    <t>RAWLS &amp; MCNELIS PC TR ACCT</t>
  </si>
  <si>
    <t>DAVIS &amp; HERSH LLP</t>
  </si>
  <si>
    <t>JOE C DOWDING TR ACCT</t>
  </si>
  <si>
    <t>TIMOTHY  RENSCH</t>
  </si>
  <si>
    <t>AVERA &amp; SMITH LLP TR ACCT</t>
  </si>
  <si>
    <t>DHS - Federal Air Marshalls</t>
  </si>
  <si>
    <t>SCACCIA &amp; ASSOCIATES LLC</t>
  </si>
  <si>
    <t>GEBHARDT &amp; ASSO LLP CLIENT TR ACCT IOLTA;LENORE C GARON-GEBHARDT &amp; ASSO LLP</t>
  </si>
  <si>
    <t>Feruerstein  Smith LLP</t>
  </si>
  <si>
    <t>DHS - Federal Protection Service</t>
  </si>
  <si>
    <t>MCCARTHY SWEENEY &amp; HARKAWAY PC;RICHARD D LIEBERMAN</t>
  </si>
  <si>
    <t>DHS - Immigration  &amp; Customs Enforcement (ICE)</t>
  </si>
  <si>
    <t>SLINKMAN AND SLINKMAN PA</t>
  </si>
  <si>
    <t>IOLTA TRUST;LATHAM &amp; WATKINS LLP;MARGRETHE K KEARNEY</t>
  </si>
  <si>
    <t>BARST &amp; MUKAMAL</t>
  </si>
  <si>
    <t>CLARISA  SOLA;CLARISA  SOLA-GOMEZ</t>
  </si>
  <si>
    <t>CARMAN CALLAHAN &amp; INGHAM LLP</t>
  </si>
  <si>
    <t>LAW OFFICE OF JAVIER N. MALDONADO</t>
  </si>
  <si>
    <t>JENNER &amp; BLOCK;LINDSAY HARRISON</t>
  </si>
  <si>
    <t>MELINDA  GAUL</t>
  </si>
  <si>
    <t>JAVIER N MALDONADO</t>
  </si>
  <si>
    <t xml:space="preserve">28-USC-2677 Prop-Seize   </t>
  </si>
  <si>
    <t>Federal Tort Claims Act/Court/Prop-Seize</t>
  </si>
  <si>
    <t>CARTER C WHITE</t>
  </si>
  <si>
    <t>Jonathan H Feinberg</t>
  </si>
  <si>
    <t>STEVEN E PETROU</t>
  </si>
  <si>
    <t>Sayre &amp; Levitt; LLP</t>
  </si>
  <si>
    <t>Law Offic eof David A. Branch and Assoc.</t>
  </si>
  <si>
    <t>DHS - TSA  Trans. SEC. Admin.</t>
  </si>
  <si>
    <t>AFTON  JANE IZEN;AFTON JANE IZEN ATTORNEY AT LAW</t>
  </si>
  <si>
    <t>JAMES M ROBERTSON</t>
  </si>
  <si>
    <t>SCOTT E SILBERT</t>
  </si>
  <si>
    <t>SHANE C SIDEBOTTOM;WOLNITZEK &amp; ROWEKAMP PSC</t>
  </si>
  <si>
    <t>JAMIL AKHTAR PC</t>
  </si>
  <si>
    <t>Hughes-Cione</t>
  </si>
  <si>
    <t>DHS-Immigration Sevc</t>
  </si>
  <si>
    <t>KELLER AND HACKMAN LLP</t>
  </si>
  <si>
    <t>ALBERT  CHOW</t>
  </si>
  <si>
    <t>David  Wilson</t>
  </si>
  <si>
    <t>MARTHA  RICKEY</t>
  </si>
  <si>
    <t>GITTEL  GORDON</t>
  </si>
  <si>
    <t>Drug Enforcement Adm</t>
  </si>
  <si>
    <t>Shawne E Caine</t>
  </si>
  <si>
    <t xml:space="preserve">28-USC-2677 Fire-Flood   </t>
  </si>
  <si>
    <t>Federal Tort Claims Act/Court/Fire-Flood</t>
  </si>
  <si>
    <t>WILLIAM E PIERSON JR PC</t>
  </si>
  <si>
    <t>LAW OFFICE RUSH &amp; GLASSMAN TR ACCT;ROBERT A RUSH</t>
  </si>
  <si>
    <t>Law Offices of Fred. G. Glantz</t>
  </si>
  <si>
    <t>Law Offices Eugene S. Thompson</t>
  </si>
  <si>
    <t>PARKER WAICHMAN ALONSO LLP</t>
  </si>
  <si>
    <t>Kator; Parks &amp; Weiser P.L.L.C.</t>
  </si>
  <si>
    <t>THE HOWARD LAW FIRM</t>
  </si>
  <si>
    <t>GIBSON &amp; SHARPS;KENTUCKY BAR FOUNDATION IOLTA FOR;MATTHEW  SUTTON</t>
  </si>
  <si>
    <t>REPPER; PAGAN; COOK; LTD</t>
  </si>
  <si>
    <t>MACDONALD HOAGUE &amp; BAYLESS TR ACCT</t>
  </si>
  <si>
    <t>THE CROSLEY LAW FIRM PC IOLTA ACCT</t>
  </si>
  <si>
    <t>DAVID T BONFIGLIO</t>
  </si>
  <si>
    <t>Gregory L Gowan</t>
  </si>
  <si>
    <t>&amp; RAITT;GURSTEN KOLTONOW GURSTEN CHRISTENSEN</t>
  </si>
  <si>
    <t>Environmental Protection Agency</t>
  </si>
  <si>
    <t xml:space="preserve">42-USC-7604              </t>
  </si>
  <si>
    <t>Clean Air Act - Citizens' Suits (Attny Fees &amp; Costs)</t>
  </si>
  <si>
    <t>K Scott  Brazil</t>
  </si>
  <si>
    <t>CHRISTOPHER G WINTER</t>
  </si>
  <si>
    <t>MICHAEL  ZOELLER</t>
  </si>
  <si>
    <t xml:space="preserve">33-USC-1365              </t>
  </si>
  <si>
    <t>Clean Water Act - Citizens' Suits (Attny Fees&amp;Costs)</t>
  </si>
  <si>
    <t xml:space="preserve">15-USC-2619              </t>
  </si>
  <si>
    <t>Toxic Substance Control-Citizens Suits(Attny Fees)</t>
  </si>
  <si>
    <t>Melissa  Hailey</t>
  </si>
  <si>
    <t xml:space="preserve">33-USC-1369              </t>
  </si>
  <si>
    <t>Clean Water Act - Judicial Review (Attny Fees&amp;Costs)</t>
  </si>
  <si>
    <t>James J Taylor</t>
  </si>
  <si>
    <t>JAMIE  Macayeal</t>
  </si>
  <si>
    <t>Environmental Protection Agency; Fish &amp; Wildlife Svc</t>
  </si>
  <si>
    <t>SMTIH &amp; LOWNEY; PLLC</t>
  </si>
  <si>
    <t>Exec Offfice of the President</t>
  </si>
  <si>
    <t>Export-Import Bank of the US</t>
  </si>
  <si>
    <t>RONALD  GOODBREAD</t>
  </si>
  <si>
    <t>Fed Aviation Admin</t>
  </si>
  <si>
    <t>NOEL O BAILEY</t>
  </si>
  <si>
    <t>CONNELLY ROBERTS &amp; MCGIVENEY</t>
  </si>
  <si>
    <t>PEMBERTON SORLIE RUFER &amp; KERSHNER</t>
  </si>
  <si>
    <t>JONES DIETZ &amp; SWISHER</t>
  </si>
  <si>
    <t>MICHAEL C KRAMER</t>
  </si>
  <si>
    <t>ELLIS LAWHORNE &amp; SIMS PA TRUST ACCT</t>
  </si>
  <si>
    <t>CLIFTON L BRINSON;MITCHELL &amp; JERNIGAN LLP;SMITH ANDERSON BLOUNT DORSETT</t>
  </si>
  <si>
    <t>Ewaniszyk Law Firm</t>
  </si>
  <si>
    <t>MELVIN C HALL</t>
  </si>
  <si>
    <t>MARVIN LISS P.C. IOLTA ATTY TRUST ACCT</t>
  </si>
  <si>
    <t>Craig P Keup</t>
  </si>
  <si>
    <t>KREINDLER &amp; KREINDLER LLP IOLA ACCT</t>
  </si>
  <si>
    <t>BRUCE A LAMPERT;SCHADEN; KATZMAN  LAMPERT &amp; MCLUNE  TRUST ACC</t>
  </si>
  <si>
    <t>Justin  Green;Kriendler &amp;  Kriendler</t>
  </si>
  <si>
    <t>Hyram  Montero</t>
  </si>
  <si>
    <t>Choate &amp; Haith</t>
  </si>
  <si>
    <t>ANNE  SULTON</t>
  </si>
  <si>
    <t>Bruce A Lampert</t>
  </si>
  <si>
    <t>SCHADEN KATZMAN LAMPERT &amp; MCCLUNE</t>
  </si>
  <si>
    <t>MACIEJEWSKI &amp; CABRY PA;ZISSER ROBINSON BROWN NOWLIS</t>
  </si>
  <si>
    <t>SCHADEN KATZMAN LAMPERT &amp; McCLUNE</t>
  </si>
  <si>
    <t>RICHARD  RITORTO</t>
  </si>
  <si>
    <t>Lawrence  Berger</t>
  </si>
  <si>
    <t>IOLTA Account (Trust)</t>
  </si>
  <si>
    <t>LARRY I MOORE</t>
  </si>
  <si>
    <t>Fed Bureau of Invest</t>
  </si>
  <si>
    <t>KRISTAL L HIGINBOTHOM</t>
  </si>
  <si>
    <t>LORRE  SYLVAN SMITH</t>
  </si>
  <si>
    <t>ARNOLD &amp; PORTER LLP</t>
  </si>
  <si>
    <t>Pillemer &amp; Pillemer</t>
  </si>
  <si>
    <t>HAROLD  CHETRICK PC</t>
  </si>
  <si>
    <t>TRUST ACCOUNT OF KRAVITZ LAW GROUP; PA</t>
  </si>
  <si>
    <t>BLUME GOLDFADEN BERKOWITZ DONNELLY ETC</t>
  </si>
  <si>
    <t>SHERMAN &amp; SHERMAN TRUST ACCOUNT</t>
  </si>
  <si>
    <t>Enrique  Mendoza</t>
  </si>
  <si>
    <t>MICHAEL ANTON LAURANO CLIENT'S ACCT</t>
  </si>
  <si>
    <t>ROME MCGUIGAN PC</t>
  </si>
  <si>
    <t>POSTERNAK BLANKSTEIN &amp; LUND LLP</t>
  </si>
  <si>
    <t>JULIANE  BALLIRO</t>
  </si>
  <si>
    <t>Law Offices of Domingo Garcia</t>
  </si>
  <si>
    <t>Domingo  Garcia</t>
  </si>
  <si>
    <t>AUSTIN J MCGUIGAN;ROME  MCGUIGAN</t>
  </si>
  <si>
    <t>JULIANNA  BALLIRO;US DISTRICT COURT DISTRICT OF MA</t>
  </si>
  <si>
    <t>JULIANNE  BALLIRO;US DISTRICT COURT DISTRICT OF MA</t>
  </si>
  <si>
    <t>Robert J Reynolds</t>
  </si>
  <si>
    <t>JOSE M CARRERAS-PEREZ</t>
  </si>
  <si>
    <t>H. WADE KIMBRELL</t>
  </si>
  <si>
    <t>Fed Motor Carrier</t>
  </si>
  <si>
    <t>ANDREW E TOSCANO</t>
  </si>
  <si>
    <t>Fed RR Admin</t>
  </si>
  <si>
    <t>Federal Communications Commission</t>
  </si>
  <si>
    <t>MICHAEL  PATRICK SMITH</t>
  </si>
  <si>
    <t>Federal Election Commission</t>
  </si>
  <si>
    <t>GIBSON; DUNN &amp; CRUTCHER LLP</t>
  </si>
  <si>
    <t>FEMA</t>
  </si>
  <si>
    <t>RAYMOND  SIMMONS</t>
  </si>
  <si>
    <t>SCHNEIDER &amp; LALIKOS LLP</t>
  </si>
  <si>
    <t>ERNEST C WHEELER;TRUST ACCOUNT THOMAS DEL BECCARO</t>
  </si>
  <si>
    <t>W Alan  Lilley</t>
  </si>
  <si>
    <t>CHARLES S GREEN</t>
  </si>
  <si>
    <t>Fish &amp; Wildlife Svc</t>
  </si>
  <si>
    <t>EARTHJUSTICE</t>
  </si>
  <si>
    <t>COLORADO LAWYER TRUST ACCT.</t>
  </si>
  <si>
    <t>Jonathan  Evans</t>
  </si>
  <si>
    <t>JOHN  BUSE</t>
  </si>
  <si>
    <t>WESTERN ENVIRONMENTAL LAW CENTER</t>
  </si>
  <si>
    <t>BECHTOLD LAW FIRM PLLC;TIMOTHY M BECHTOLD</t>
  </si>
  <si>
    <t>COLORADO LAWYERS TRUST ACCT</t>
  </si>
  <si>
    <t>PHILIP F ATKINS-PATTENSON;SHEPPARD MULLIN RICHTER &amp; HAMPTON LLP</t>
  </si>
  <si>
    <t>THOMPSON &amp; REILLY IOLTA ACCOUNT</t>
  </si>
  <si>
    <t>Law Ofc of Richard Binko</t>
  </si>
  <si>
    <t>NATURAL RESOURCES DEFENSE COUNCIL</t>
  </si>
  <si>
    <t>Fish &amp; Wildlife Svc; Forest Service</t>
  </si>
  <si>
    <t>BECHTOLD LAW FIRM PLLC</t>
  </si>
  <si>
    <t>BECHTOLD LAW FIRM</t>
  </si>
  <si>
    <t>Food &amp; Drug Adm</t>
  </si>
  <si>
    <t>CLEMENTS; BEKMAN;  MARDER &amp; ADKINS LLC;PAUL D BEKMAN</t>
  </si>
  <si>
    <t>Food Safety &amp; Inspec</t>
  </si>
  <si>
    <t>CARY  KLETTER</t>
  </si>
  <si>
    <t>Forest Service</t>
  </si>
  <si>
    <t>Southern California Edison Company</t>
  </si>
  <si>
    <t>SPEER HOYT LLC;WILLIAM F CLORAN</t>
  </si>
  <si>
    <t>EARTHJUSTICE ATTORNEY CLIENT TRUST;GREG  LOARIE</t>
  </si>
  <si>
    <t>Saltman &amp; Stevens; PC</t>
  </si>
  <si>
    <t>LAW OFFICE OF DARRIN W. MERCIER</t>
  </si>
  <si>
    <t>HALKIDES MORGAN KELLEY TRUST ACCOUNT</t>
  </si>
  <si>
    <t>LAWTON &amp; CATES LLC</t>
  </si>
  <si>
    <t xml:space="preserve">29-USC-633A              </t>
  </si>
  <si>
    <t>Age Discrimination In Empl Act - Fed Employ</t>
  </si>
  <si>
    <t>Erik E Highberg</t>
  </si>
  <si>
    <t>BRYANT EMERSON &amp; FITCH TR ACCT</t>
  </si>
  <si>
    <t>TRACEY L MORIN</t>
  </si>
  <si>
    <t>BRIGGS &amp; BRIGGS TR ACCT</t>
  </si>
  <si>
    <t>HINKLE HENSLEY SHANOR &amp; MARTIN LLP;HINKLE; HENSLEY; SHANOR &amp; MARTIN; LLP</t>
  </si>
  <si>
    <t xml:space="preserve">16-USC-698v-2            </t>
  </si>
  <si>
    <t>Approved by Legal for One Time Use-Baca Ranch Land Acquisition</t>
  </si>
  <si>
    <t>SALLY J MAGNANI</t>
  </si>
  <si>
    <t>COSTELLO PORTER HILL HEISTERKAMP</t>
  </si>
  <si>
    <t>General Services Administration</t>
  </si>
  <si>
    <t>Hilton &amp; Somer; LLC</t>
  </si>
  <si>
    <t>ROBERT L KENNY</t>
  </si>
  <si>
    <t>MICHAEL  AMBROSO</t>
  </si>
  <si>
    <t>BARBARA G WERTHER ESQ HOWREY LLP</t>
  </si>
  <si>
    <t>Patrick Henry; LLP</t>
  </si>
  <si>
    <t>MICHAEL T AMBROSO</t>
  </si>
  <si>
    <t>CHRIS  DEPALMA;KENNEDY JOHNSON D'ELIA &amp; GILLOLY TR ACCT</t>
  </si>
  <si>
    <t>Kenneth  Battley;Watt; Tieder  Hoffar &amp; Fitzgerald</t>
  </si>
  <si>
    <t>WATT TIEDER HOFFAR &amp; FITZGERALD</t>
  </si>
  <si>
    <t>THOMAS A MCFARLAND</t>
  </si>
  <si>
    <t>MICHAEL F COPLEY</t>
  </si>
  <si>
    <t>KIRK  MCCORMICK;WATT TIEDER HOFFAR &amp; FITZGERALD TR ACCT</t>
  </si>
  <si>
    <t>LACY KANE PS POOLED CLIENT TR ACCT;SCOTT M KANE</t>
  </si>
  <si>
    <t>ALAN F WOHLSTETTER;DENNING &amp; WOHLSTETTER ESCROW ACCT</t>
  </si>
  <si>
    <t xml:space="preserve">28-USC-2672 Prop-Maint   </t>
  </si>
  <si>
    <t>Federal Tort Claims Act/Admin/Prop-Maint</t>
  </si>
  <si>
    <t>Chimes District of Columbia; INC.</t>
  </si>
  <si>
    <t>CHARLES H WAHTOLA</t>
  </si>
  <si>
    <t>Gammon &amp; Grange; P.C.</t>
  </si>
  <si>
    <t>WALSH/DAVIS JOINT VENTURE</t>
  </si>
  <si>
    <t>General Services Administration; Office of the Secretary of Defense - Agencies</t>
  </si>
  <si>
    <t>Thomas A McFarland</t>
  </si>
  <si>
    <t>THOMAS A McFARLAND</t>
  </si>
  <si>
    <t>Government Printing Office</t>
  </si>
  <si>
    <t>Donald S Johnson</t>
  </si>
  <si>
    <t>NORA A BAILEY</t>
  </si>
  <si>
    <t>HHS-OIG</t>
  </si>
  <si>
    <t>JOSEPH E MALONEY IOLTA</t>
  </si>
  <si>
    <t>Homeland Security</t>
  </si>
  <si>
    <t>John C Davis</t>
  </si>
  <si>
    <t>Steven  Archer</t>
  </si>
  <si>
    <t>Girardi &amp; Keese  Client Trt Account</t>
  </si>
  <si>
    <t>Seyfarth Shaw LLP</t>
  </si>
  <si>
    <t>Michael R De La Paz</t>
  </si>
  <si>
    <t>&amp; RAITT PC;GURSTEN KOLTONOW GURSTEN CHRISTENSEN</t>
  </si>
  <si>
    <t>Immigration &amp; Custom</t>
  </si>
  <si>
    <t>Daniel R Y  Fong</t>
  </si>
  <si>
    <t>HUGHES HUBBARD &amp; REED LLP</t>
  </si>
  <si>
    <t>LEIBOWITZ &amp; WANG</t>
  </si>
  <si>
    <t>Morrison &amp; Foerster</t>
  </si>
  <si>
    <t>Peter M Zirbes</t>
  </si>
  <si>
    <t>Soule Bradtke &amp; Lambert</t>
  </si>
  <si>
    <t>Immigration &amp; Nat</t>
  </si>
  <si>
    <t>MICHAEL R STAHL</t>
  </si>
  <si>
    <t>BENJAMIN  XUE</t>
  </si>
  <si>
    <t>Independent Agencies inc. Nat'l Park Service</t>
  </si>
  <si>
    <t>DAVID B WINKLER</t>
  </si>
  <si>
    <t>Indian Health Svc</t>
  </si>
  <si>
    <t>GROSSENBURG LAW OFFICE TRUST ACCOUNT</t>
  </si>
  <si>
    <t>Pechota Law  Office</t>
  </si>
  <si>
    <t>HOY TRIAL LAWYERS; PROF. LLC</t>
  </si>
  <si>
    <t>JIM J VALCARCE;VALCARCE LAW OFFICE</t>
  </si>
  <si>
    <t>BARBER &amp; BORG LLC;SHAPIRO BETTINGER CHASE LLP</t>
  </si>
  <si>
    <t>JMW SETTLEMENTS INC- CLIENT FUNDS ACCT;S RANDALL  SULLIVAN</t>
  </si>
  <si>
    <t>THEODORE W BARUDIN</t>
  </si>
  <si>
    <t>BARUDIN LAW FIRM; P.C. TRUST ACCT</t>
  </si>
  <si>
    <t>N D BAR ASSOCIATION</t>
  </si>
  <si>
    <t>TERRY M WOOD PC</t>
  </si>
  <si>
    <t>GAIL RUTHERFORD AS CONSERVATOR FOR;JAMES  O'BRIEN;LAW OFFICE PC;THE ESTATE OF ALYSSA LITTLE &amp; O'BRIEN</t>
  </si>
  <si>
    <t>AZ Foundation for Legal Ser &amp; Education;Daniel M Rosenfelt</t>
  </si>
  <si>
    <t>BARBER &amp; BORG LLC</t>
  </si>
  <si>
    <t>METTLER &amp; LeCUYER; P.C. ATTY TRUST ACCT</t>
  </si>
  <si>
    <t>PAUL T BOUDREAUX</t>
  </si>
  <si>
    <t>ROSENFELT &amp; BUFFINGTON</t>
  </si>
  <si>
    <t>James E Frasier</t>
  </si>
  <si>
    <t>Robert  Gittleman</t>
  </si>
  <si>
    <t>TRICIA SCHINDLEDECKER TR ATTORNEY</t>
  </si>
  <si>
    <t>PETER M GORSKI;THEODORE TODD  JULIAN</t>
  </si>
  <si>
    <t>HARLAN &amp; ASSOCIATES</t>
  </si>
  <si>
    <t>JANKLOW LAW FIRM CLIENT TR ACCT</t>
  </si>
  <si>
    <t>GEOFFREY  STROMMER</t>
  </si>
  <si>
    <t>THE EDWARDS LAW FIRM LLP TR ACCT;TREVOR  FURLONG</t>
  </si>
  <si>
    <t>Inst of Museum and Library Services</t>
  </si>
  <si>
    <t>Internal Revenue Service/S&amp;E</t>
  </si>
  <si>
    <t>ROBERT E DALLMAN</t>
  </si>
  <si>
    <t>WILLIAM E TAGGERT</t>
  </si>
  <si>
    <t>OMID  NIKNAM</t>
  </si>
  <si>
    <t xml:space="preserve">26-USC-7430              </t>
  </si>
  <si>
    <t>Tax Cases - Attny Fees&amp;Costs</t>
  </si>
  <si>
    <t>STEPHEN M KATZ ATTY AT LAW TR ACCT</t>
  </si>
  <si>
    <t>KARL R HILDABRAND</t>
  </si>
  <si>
    <t>Deshonda  Tackett Davis &amp; Associate</t>
  </si>
  <si>
    <t>EBERT LAW OFFICES PC</t>
  </si>
  <si>
    <t xml:space="preserve">26-USC-7433              </t>
  </si>
  <si>
    <t>IRS Unauthorized Collection Action</t>
  </si>
  <si>
    <t xml:space="preserve">26-USC-7431              </t>
  </si>
  <si>
    <t>Unauthorized Disclosure Of Tax Return</t>
  </si>
  <si>
    <t>RAJ LIMITED PC TRUST ACCOUNT NO. 2</t>
  </si>
  <si>
    <t>ALLAN E RICHARDSON</t>
  </si>
  <si>
    <t>LOUIS H WATSON;NICK  NORRIS</t>
  </si>
  <si>
    <t>MICHAEL  LEHNERS</t>
  </si>
  <si>
    <t>EDWARD W JASINSKI</t>
  </si>
  <si>
    <t>NANCY  ABRAMOWITZ</t>
  </si>
  <si>
    <t>LAW OFFICES OF MAYNARD &amp; HOGAN</t>
  </si>
  <si>
    <t>Butkovich &amp;  Crosthwaite Col;Geoffrey  Damon</t>
  </si>
  <si>
    <t>RABY LAW OFFICE</t>
  </si>
  <si>
    <t>SCOTT M MISHKIN</t>
  </si>
  <si>
    <t>LEWIS &amp; CLARK LEGAL CLINIC</t>
  </si>
  <si>
    <t>Spector Gadon  &amp; Rosen PC</t>
  </si>
  <si>
    <t>Thomas  Frieberg</t>
  </si>
  <si>
    <t>AARON I LIPSEY</t>
  </si>
  <si>
    <t>JEANNE A STEFFIN</t>
  </si>
  <si>
    <t>CHERYLE W GERING</t>
  </si>
  <si>
    <t>ROBERT J LANE</t>
  </si>
  <si>
    <t>JAMES  NOBILE</t>
  </si>
  <si>
    <t xml:space="preserve">26-USC-7432              </t>
  </si>
  <si>
    <t>IRS Failure To Release Tax Lien</t>
  </si>
  <si>
    <t>Library of Congress</t>
  </si>
  <si>
    <t>Webster; Fredrickson; Correia &amp; Puth</t>
  </si>
  <si>
    <t>American Civil Liberties Union</t>
  </si>
  <si>
    <t>Marine Corps</t>
  </si>
  <si>
    <t>Law Ofices of Friedberg &amp; Bunge</t>
  </si>
  <si>
    <t>Welebir Tierney &amp; Weck; PLC</t>
  </si>
  <si>
    <t>Maritime Admin</t>
  </si>
  <si>
    <t>Harley E Riedel;Stichter Riedel  Blain &amp; Prosser TRT Account</t>
  </si>
  <si>
    <t xml:space="preserve">11-USC-523               </t>
  </si>
  <si>
    <t>Bankruptcy - Dischargeability Determinations</t>
  </si>
  <si>
    <t>THOMAS C EVANS</t>
  </si>
  <si>
    <t>CAROL L HEPPBURN PS IOLTA ACCT</t>
  </si>
  <si>
    <t xml:space="preserve">46-USC-30104             </t>
  </si>
  <si>
    <t>Jones Act - Recovery for Injury or Death of a Seaman</t>
  </si>
  <si>
    <t>Marshals Service</t>
  </si>
  <si>
    <t>THE GOLDSMITH LAW FIRM; LLC</t>
  </si>
  <si>
    <t>GEORGE C PRICE</t>
  </si>
  <si>
    <t>Williams &amp; Connolly LLP</t>
  </si>
  <si>
    <t>Mat A Slechter</t>
  </si>
  <si>
    <t>THE GOLDSMITH LAW FIRM</t>
  </si>
  <si>
    <t>COHEN GARELICK &amp; GLAZIER</t>
  </si>
  <si>
    <t>Law Offices of Stewart Katz</t>
  </si>
  <si>
    <t>David S Greene</t>
  </si>
  <si>
    <t>Monalie E. Bledsoe Attorney at Law</t>
  </si>
  <si>
    <t>Merit Systems Protection Board</t>
  </si>
  <si>
    <t>GENE C SCHAERR;WINSTON &amp; STRAWN LLP</t>
  </si>
  <si>
    <t>Mine Safety &amp; Health</t>
  </si>
  <si>
    <t>DANIEL R BIEGER</t>
  </si>
  <si>
    <t>Minerals Mgmt Svc</t>
  </si>
  <si>
    <t xml:space="preserve">43-USC-1349              </t>
  </si>
  <si>
    <t>Outer Continental Shelf Lands Act</t>
  </si>
  <si>
    <t>National Aeronautics and Space Administration</t>
  </si>
  <si>
    <t>Erin E Holbrook</t>
  </si>
  <si>
    <t>KANNON  SHANMUGAM</t>
  </si>
  <si>
    <t xml:space="preserve">28-USC-1498              </t>
  </si>
  <si>
    <t>Patent/Copyright Infringement</t>
  </si>
  <si>
    <t>WARREN &amp; SIMPSON PC</t>
  </si>
  <si>
    <t>National Aeronautics and Space Administration; Office of the Secretary of Defense - Agencies</t>
  </si>
  <si>
    <t>MCKENNA; LONG &amp; ALDRIDGE; LLP</t>
  </si>
  <si>
    <t>National Labor Relations Board</t>
  </si>
  <si>
    <t>Kestell &amp; Associates</t>
  </si>
  <si>
    <t>Natl Inst of Health</t>
  </si>
  <si>
    <t>VINCENT MARK J POLICY</t>
  </si>
  <si>
    <t xml:space="preserve">15-USC-1125              </t>
  </si>
  <si>
    <t>Trademark Infringement/False Advertising</t>
  </si>
  <si>
    <t>Natl Marine Fisher</t>
  </si>
  <si>
    <t>Natl Park Service</t>
  </si>
  <si>
    <t>FEIN FLYNN &amp; ASSOCIATES PC</t>
  </si>
  <si>
    <t>AMOS R HUNTER; PS POOLED TR ACCT</t>
  </si>
  <si>
    <t>DANIEL F HORNE;STONE &amp; HORNE LLP TRUSTEES</t>
  </si>
  <si>
    <t>DONALD  COX;JMW SETTLEMENTS INC CLIENT FUNDS ACCT;JOHN  COX</t>
  </si>
  <si>
    <t>Holder &amp; Grover  PA Client Trust Account;Jon  Holder</t>
  </si>
  <si>
    <t>Maloney &amp; Mohsen PLLC</t>
  </si>
  <si>
    <t>KATZ &amp; KREINCES LLP</t>
  </si>
  <si>
    <t>McCARTER &amp; ENGLISH LLP</t>
  </si>
  <si>
    <t>JAMES R OATES</t>
  </si>
  <si>
    <t xml:space="preserve">42-USC-9607              </t>
  </si>
  <si>
    <t>CERCLA/Superfund</t>
  </si>
  <si>
    <t>MIRSADE  BAJRAKTAREVIC</t>
  </si>
  <si>
    <t>Natl Security Agency</t>
  </si>
  <si>
    <t>Law Office sof Douglas R. Stevens</t>
  </si>
  <si>
    <t>Natural Resource C</t>
  </si>
  <si>
    <t>CLARA R SMIT</t>
  </si>
  <si>
    <t>JEFFREY W PARKS</t>
  </si>
  <si>
    <t>Ofc of Sec-Transprt</t>
  </si>
  <si>
    <t>Off. Comptroller of Currency</t>
  </si>
  <si>
    <t>Gayle L Terry</t>
  </si>
  <si>
    <t>Law Offices of Larry J. Stein</t>
  </si>
  <si>
    <t>Office of Personnel Management</t>
  </si>
  <si>
    <t>Shah Law Group; P.C.</t>
  </si>
  <si>
    <t>E TAYLOR  Davidson</t>
  </si>
  <si>
    <t>Office of the Executive Secretariat</t>
  </si>
  <si>
    <t>Law Offices of Camilla C. McKinney; PLLC</t>
  </si>
  <si>
    <t>Office of the Secretary of Defense - Agencies</t>
  </si>
  <si>
    <t>EDMUND V SMITH</t>
  </si>
  <si>
    <t>ANNE H WARNER</t>
  </si>
  <si>
    <t>Joan Z Cohen</t>
  </si>
  <si>
    <t>David F Barton</t>
  </si>
  <si>
    <t>TERRY  ALBERTSON</t>
  </si>
  <si>
    <t>MCKENRY DANCIGERS DAWSON &amp; LAKE PC</t>
  </si>
  <si>
    <t>Patrick J. Christmas &amp; Associates; P.C.</t>
  </si>
  <si>
    <t>Phoebe L Deak;Victoria A Ferrer</t>
  </si>
  <si>
    <t>Rural Development</t>
  </si>
  <si>
    <t>Rural Housing Srvc</t>
  </si>
  <si>
    <t>WILLIAM F SCHROEDER</t>
  </si>
  <si>
    <t>Secret Service at Homeland Security</t>
  </si>
  <si>
    <t>RAWLIN GRAVENS CO LPA IOLA TRUST</t>
  </si>
  <si>
    <t>Stoll; Nussbaum &amp; Polakov; A.P.C.</t>
  </si>
  <si>
    <t>Maloney &amp; Mohsen; PLLC</t>
  </si>
  <si>
    <t>Small Business Administration</t>
  </si>
  <si>
    <t>Smithsonian Institution</t>
  </si>
  <si>
    <t>Law Office of Vickie Fang</t>
  </si>
  <si>
    <t>Steven J Silverberg</t>
  </si>
  <si>
    <t>Social Security Administration</t>
  </si>
  <si>
    <t>BROSS &amp; GROUP PA;RICHARD L GROUP</t>
  </si>
  <si>
    <t>WOLODYMY  CYBRIWSKY</t>
  </si>
  <si>
    <t>WOLODYMYR  CYBRIWSKY</t>
  </si>
  <si>
    <t>JEAN C OWEN</t>
  </si>
  <si>
    <t>BINDER &amp; BINDER</t>
  </si>
  <si>
    <t>THE LAW OFFICES OF JIMMY EWENIKE</t>
  </si>
  <si>
    <t>Patricia L McCabe</t>
  </si>
  <si>
    <t>Elkind Law  Offices LLC;Stephen F Shea</t>
  </si>
  <si>
    <t>The Law Offices of Susan R. Wasserman</t>
  </si>
  <si>
    <t>Henry  Reynolds</t>
  </si>
  <si>
    <t>Gary  Linarducci</t>
  </si>
  <si>
    <t>Robert  Savoy</t>
  </si>
  <si>
    <t>Eric J Fischer</t>
  </si>
  <si>
    <t>David F Chermol</t>
  </si>
  <si>
    <t>JAMES D LEACH</t>
  </si>
  <si>
    <t>FREDERICK J DALEY</t>
  </si>
  <si>
    <t>ROGER M DRISKILL</t>
  </si>
  <si>
    <t>Allan E Feldman</t>
  </si>
  <si>
    <t>MORGAN &amp; WEISBROD</t>
  </si>
  <si>
    <t>Nick A Ortiz</t>
  </si>
  <si>
    <t>ERIC C CONN</t>
  </si>
  <si>
    <t>ROBERT F WEBBER</t>
  </si>
  <si>
    <t>LAW OFFICES OF HARRY &amp; CHARLES BINDER PC</t>
  </si>
  <si>
    <t>MARY K HOEFER</t>
  </si>
  <si>
    <t>NATHAN E BARNARD</t>
  </si>
  <si>
    <t>ERIC J FISCHER</t>
  </si>
  <si>
    <t>STEPHEN A HAMPTON</t>
  </si>
  <si>
    <t>DAVID F CHERMOL</t>
  </si>
  <si>
    <t>MEYER  SILVER</t>
  </si>
  <si>
    <t>BESS M BREWER</t>
  </si>
  <si>
    <t>BETH  ARNOLD</t>
  </si>
  <si>
    <t>MICHAEL  MISKOWIEC</t>
  </si>
  <si>
    <t>BINDER &amp; BINDER PC</t>
  </si>
  <si>
    <t>PHILLIP B VERRETTE</t>
  </si>
  <si>
    <t>Teresa H Abbott</t>
  </si>
  <si>
    <t>JOHN L BRENNAN</t>
  </si>
  <si>
    <t>Mary S Wenzl;Wenzl  Law</t>
  </si>
  <si>
    <t>Charles E Binder</t>
  </si>
  <si>
    <t>Robert H Gibbs</t>
  </si>
  <si>
    <t>JOAN H DEANS</t>
  </si>
  <si>
    <t>JEFFREY D DELOTT</t>
  </si>
  <si>
    <t>SHARON J MEYERS</t>
  </si>
  <si>
    <t>THOMAS D SUTTON</t>
  </si>
  <si>
    <t>MARIANNA E MCKNIGHT</t>
  </si>
  <si>
    <t>Tony D Monge</t>
  </si>
  <si>
    <t>CASEY  SAUNDERS</t>
  </si>
  <si>
    <t>ERIC  SLEPIAN</t>
  </si>
  <si>
    <t>Casey  Saunders</t>
  </si>
  <si>
    <t>KATHLEEN SHANNON GLANCY PA</t>
  </si>
  <si>
    <t>JAMES B GILLESPIE</t>
  </si>
  <si>
    <t>CASEY L SAUNDERS</t>
  </si>
  <si>
    <t>Christopher J Bowes</t>
  </si>
  <si>
    <t>W. DANIEL  MAYES</t>
  </si>
  <si>
    <t>David L Lybbert</t>
  </si>
  <si>
    <t>LAWRENCE D HASSELER</t>
  </si>
  <si>
    <t>JOEL M SOLOW</t>
  </si>
  <si>
    <t>MICHAEL C BLANTON</t>
  </si>
  <si>
    <t>CHARLES  TALBOT</t>
  </si>
  <si>
    <t>KATHLEEN  HOLT</t>
  </si>
  <si>
    <t>ELIE  HALPERN</t>
  </si>
  <si>
    <t>CYNTHIA M CURRIN</t>
  </si>
  <si>
    <t>HUGH D COX;HUGH DALTON  COX</t>
  </si>
  <si>
    <t>VAUGHN  CLAUSON</t>
  </si>
  <si>
    <t>ROBERT  FRIEDMAN</t>
  </si>
  <si>
    <t>EITAN K YANICH</t>
  </si>
  <si>
    <t>CORRIE  YACKULIC</t>
  </si>
  <si>
    <t>ELIZABETH  LUNN</t>
  </si>
  <si>
    <t>Teal  Parham</t>
  </si>
  <si>
    <t>Daniel W Emery</t>
  </si>
  <si>
    <t>JENNIFER  STUBLE</t>
  </si>
  <si>
    <t>MARIANNE E MCKNIGHT</t>
  </si>
  <si>
    <t>BARBARA  VON EULER</t>
  </si>
  <si>
    <t>Jennifer  Struble</t>
  </si>
  <si>
    <t>Joan  Deans</t>
  </si>
  <si>
    <t>ENRIQUE  ESCARRAZ</t>
  </si>
  <si>
    <t>THOMAS E BUSH</t>
  </si>
  <si>
    <t>ERIK W BERGER</t>
  </si>
  <si>
    <t>CAROL  AVARD</t>
  </si>
  <si>
    <t>J CHRISTOPHER  DEEM</t>
  </si>
  <si>
    <t>GARY R PARVIN</t>
  </si>
  <si>
    <t>Erik W Berger</t>
  </si>
  <si>
    <t>VICTOR  MANTEL</t>
  </si>
  <si>
    <t>MARY G BURCHETT-BOWER</t>
  </si>
  <si>
    <t>CHARLES E BINDER</t>
  </si>
  <si>
    <t>CAREY  THOMPSON</t>
  </si>
  <si>
    <t>SOUTH DAKOTA ADVOCACY SERVICES</t>
  </si>
  <si>
    <t>THOMAS  BUSH</t>
  </si>
  <si>
    <t>HEATHER  FREEMAN</t>
  </si>
  <si>
    <t>THOMAS J BERTINO</t>
  </si>
  <si>
    <t>THE LAW OFFICE OF CHERYL L LANGSTON</t>
  </si>
  <si>
    <t>Law Offices of Jimmy Ewenike</t>
  </si>
  <si>
    <t>Margaret M Maisel;Tineman Scott  Sciano Inc</t>
  </si>
  <si>
    <t>Frederick J Daley</t>
  </si>
  <si>
    <t>John L Brennan</t>
  </si>
  <si>
    <t>JULIE  ATKINS</t>
  </si>
  <si>
    <t>JAMES S GOLDSTEIN</t>
  </si>
  <si>
    <t>LAWRENCE  WITTENBERG</t>
  </si>
  <si>
    <t>Bryden F Dow</t>
  </si>
  <si>
    <t>Cynthia M Currin</t>
  </si>
  <si>
    <t>Smith Law  Office LLC;William J Smith</t>
  </si>
  <si>
    <t>Barbara V Euler</t>
  </si>
  <si>
    <t>BARBARA  VON EULER;KATHLEEN SHANNON GLANCY PA</t>
  </si>
  <si>
    <t>BARBARA  VON EULER;KATHLEEN  SHANNON GLANCY PA</t>
  </si>
  <si>
    <t>ELIZABETH F LUNN;WOLF &amp; HOGAN PC</t>
  </si>
  <si>
    <t>Barbara V Euler;Kathleen  Shannon Glancy</t>
  </si>
  <si>
    <t>ELKIND LAW OFFICES LLC;STEPHEN F SHEA</t>
  </si>
  <si>
    <t>MARY C SLEATER</t>
  </si>
  <si>
    <t>DOUGLAS C J  BRIGANDI</t>
  </si>
  <si>
    <t>Stephen F Shea</t>
  </si>
  <si>
    <t>Judith  Mathis</t>
  </si>
  <si>
    <t>Jean C Owen</t>
  </si>
  <si>
    <t>MATHIS &amp; MATHIS</t>
  </si>
  <si>
    <t>ALAN J NUTA</t>
  </si>
  <si>
    <t>DAVID L LYBBERT</t>
  </si>
  <si>
    <t>ELLIOT L BLOODSWORTH</t>
  </si>
  <si>
    <t>JENNIFER  FRY</t>
  </si>
  <si>
    <t>HENRY D ACCIANI</t>
  </si>
  <si>
    <t>JEFFREY A RABIN &amp; ASSOC;JIM  BROWN</t>
  </si>
  <si>
    <t>Thomas E Bush</t>
  </si>
  <si>
    <t>JAMES R WILLIAMS</t>
  </si>
  <si>
    <t>JAMES ROY  WILLIAMS</t>
  </si>
  <si>
    <t>JEAN  BISHOP</t>
  </si>
  <si>
    <t>GAYLE P VOJTUSH</t>
  </si>
  <si>
    <t>M JACQUELINE WALTHER KIELIAN &amp; WALTHER</t>
  </si>
  <si>
    <t>ELKIND LAW OFFICES LLC</t>
  </si>
  <si>
    <t>WILLIAM G SCHWAB</t>
  </si>
  <si>
    <t>IRWIN M PORTNOY &amp; ASSO PC ESQS</t>
  </si>
  <si>
    <t>ELIZABETH  DUNLAP</t>
  </si>
  <si>
    <t>Elizabeth  Dunlap</t>
  </si>
  <si>
    <t>Patrick  Spencer</t>
  </si>
  <si>
    <t>Carolyn A Kubitschek</t>
  </si>
  <si>
    <t>Michael W Seckar</t>
  </si>
  <si>
    <t>RONALD D HONIG</t>
  </si>
  <si>
    <t>KENNETH J SHAKESHAFT</t>
  </si>
  <si>
    <t>DOUGLAS C BRIGANDI</t>
  </si>
  <si>
    <t>ROSENTHAL &amp; LEVY PA</t>
  </si>
  <si>
    <t>SCOTT B ELKIND</t>
  </si>
  <si>
    <t>FREDERICK W NEWALL</t>
  </si>
  <si>
    <t>FREDERICK J DALEY JR</t>
  </si>
  <si>
    <t>SHARMINE  PERSAUD</t>
  </si>
  <si>
    <t>AMANDA R JORDAN</t>
  </si>
  <si>
    <t>AMANDA R JORDON</t>
  </si>
  <si>
    <t>Marcie E Goldbloom</t>
  </si>
  <si>
    <t>Stacey  Hardin Hibbard</t>
  </si>
  <si>
    <t>Rosenthal &amp;  Levy</t>
  </si>
  <si>
    <t>JULIUS &amp; SIMPSON; LLP</t>
  </si>
  <si>
    <t>BARRY A SCHULTZ</t>
  </si>
  <si>
    <t>WILLIAM C BERNHARDI</t>
  </si>
  <si>
    <t>MEGHAN M MILLER</t>
  </si>
  <si>
    <t>LARRY D PLANK ATTORNEY AT LAW</t>
  </si>
  <si>
    <t>BARBARA  RIZZO</t>
  </si>
  <si>
    <t>AMANDA  JORDAN</t>
  </si>
  <si>
    <t>MICHEL  PHILLIPS</t>
  </si>
  <si>
    <t>ELIZABETH B DUNLAP</t>
  </si>
  <si>
    <t>GREEN &amp; GREENBERG</t>
  </si>
  <si>
    <t>JOHN E SEIDLITZ</t>
  </si>
  <si>
    <t>JAMES FOSTER  ANDREWS</t>
  </si>
  <si>
    <t>JOHN F SEIDLITZ</t>
  </si>
  <si>
    <t>SUZANNE  VILLALON-HINOJOSA</t>
  </si>
  <si>
    <t>ABRAMSON &amp; KELLER;MARK J KELLER</t>
  </si>
  <si>
    <t>John H Bedford</t>
  </si>
  <si>
    <t>MICHAEL D BREAUX</t>
  </si>
  <si>
    <t>ROBERT  APPLEGATE</t>
  </si>
  <si>
    <t>W Daniel  Mayes</t>
  </si>
  <si>
    <t>Fusco;  Brandenstein &amp; Rada</t>
  </si>
  <si>
    <t>W DANIEL  MAYERS</t>
  </si>
  <si>
    <t>GAIL C HARRIS</t>
  </si>
  <si>
    <t>ROBERT A FRIEDMAN</t>
  </si>
  <si>
    <t>WILLIAM B JUNG</t>
  </si>
  <si>
    <t>DONNA M LEFEBVRE</t>
  </si>
  <si>
    <t>OFFICE OF RONALD B ESKIN PC</t>
  </si>
  <si>
    <t>BETH  ARNOLD;BINDER AND BINDER</t>
  </si>
  <si>
    <t>MAUREEN  ROSETTE</t>
  </si>
  <si>
    <t>John W Craynock</t>
  </si>
  <si>
    <t>Ronald D Honig</t>
  </si>
  <si>
    <t>LUIS A SEGARRA</t>
  </si>
  <si>
    <t>DONNA  SIMPSON</t>
  </si>
  <si>
    <t>JASON LANELL THOMPSON LEVENTHAL SUTTON;THOMAS D SUTTON</t>
  </si>
  <si>
    <t>CARLA J THOMAS</t>
  </si>
  <si>
    <t>LEVENTHAL SUTTON &amp; GORNSTEIN;THOMAS D SUTTON</t>
  </si>
  <si>
    <t>BINDER AND BINDER</t>
  </si>
  <si>
    <t>Bruce K Kirby</t>
  </si>
  <si>
    <t>Cherly  Langston</t>
  </si>
  <si>
    <t>John B Whitesell</t>
  </si>
  <si>
    <t>Luis A Segarra</t>
  </si>
  <si>
    <t>BRUCE K KIRBY</t>
  </si>
  <si>
    <t>GREEN &amp; GREENBERG;JAMES J GANNON</t>
  </si>
  <si>
    <t>PAUL A SILICH</t>
  </si>
  <si>
    <t>JOHN B WHITESELL</t>
  </si>
  <si>
    <t>ANN M CERNEY</t>
  </si>
  <si>
    <t>SHOSHANA R PEHOWIC</t>
  </si>
  <si>
    <t>Thomas A Krause</t>
  </si>
  <si>
    <t>Michael  Miskowiec</t>
  </si>
  <si>
    <t>BINDER AND BINDER PC</t>
  </si>
  <si>
    <t>DAVID F TRAVER;TRAVER &amp; TRAVER SC</t>
  </si>
  <si>
    <t>JOHN H BEDFORD</t>
  </si>
  <si>
    <t>TIM  WILBORN;WILBORN &amp; ASSOCIATES PC</t>
  </si>
  <si>
    <t>WILBORN &amp; ASSOCIATES PC</t>
  </si>
  <si>
    <t>MICHAEL P BOYLE</t>
  </si>
  <si>
    <t>DAVID B LOWRY</t>
  </si>
  <si>
    <t>CHRISTOPHER J BOWES</t>
  </si>
  <si>
    <t>DANIEL W EMERY ATTORNEY AT LAW</t>
  </si>
  <si>
    <t>DANIEL W EMERY;DANIEL W EMERY ATTORNEY AT LAW</t>
  </si>
  <si>
    <t>MERRILL  SCHNEIDER</t>
  </si>
  <si>
    <t>ALLAN B RUBENSTEIN</t>
  </si>
  <si>
    <t>HARDER WELLS BARON &amp; MANNING PC</t>
  </si>
  <si>
    <t>ALAN S GRAF</t>
  </si>
  <si>
    <t>BENNETT HARTMAN MORRIS &amp; KAPLAN LLP</t>
  </si>
  <si>
    <t>SWANSON THOMAS &amp; COON</t>
  </si>
  <si>
    <t>MICHAEL  HALLIDAY</t>
  </si>
  <si>
    <t>D. JAMES  TREE</t>
  </si>
  <si>
    <t>STUART  BARASCH</t>
  </si>
  <si>
    <t>HARDER; WELLS; BARON &amp; MANNING;KATHRYN  TASSINARI</t>
  </si>
  <si>
    <t>GAYLE  TROUTMAN</t>
  </si>
  <si>
    <t>TRACI L SEVERS ATTORNEY AT LAW</t>
  </si>
  <si>
    <t>GEORGE K WALL</t>
  </si>
  <si>
    <t>JULIUS &amp; SIMPSON LLP</t>
  </si>
  <si>
    <t>HARDER WELLS BARON &amp; MANNING</t>
  </si>
  <si>
    <t>LINDA S ZISKIN</t>
  </si>
  <si>
    <t>RICK P SAUER</t>
  </si>
  <si>
    <t>JEFFREY J BUNTEN ATTORNEY AT LAW</t>
  </si>
  <si>
    <t>David B Lowry</t>
  </si>
  <si>
    <t>Law Offices of Martin Taller; APC</t>
  </si>
  <si>
    <t>DEBBIE S FELDMAN</t>
  </si>
  <si>
    <t>Elkind Law  Offices LLC;Stepens F Shea</t>
  </si>
  <si>
    <t>BLACK CHAPMAN WEBBER STEVENS</t>
  </si>
  <si>
    <t>Gregory J Styduhar</t>
  </si>
  <si>
    <t>John E Seidlitz</t>
  </si>
  <si>
    <t>Eve D Drake</t>
  </si>
  <si>
    <t>Patricia  McCabe</t>
  </si>
  <si>
    <t>KENNETH R HILLER</t>
  </si>
  <si>
    <t>CHARLES E BINDER BINDER &amp; BINDER;CHARLES F BINDER</t>
  </si>
  <si>
    <t>LYNN  CRAWFORD</t>
  </si>
  <si>
    <t>CHANTAL J HARRINGTON</t>
  </si>
  <si>
    <t>JON C DUBIN</t>
  </si>
  <si>
    <t>DALEY DEBOFSKY &amp; BRYANT</t>
  </si>
  <si>
    <t>MARK G SCHNEIDER</t>
  </si>
  <si>
    <t>WILLIAM O BRONSON</t>
  </si>
  <si>
    <t>JOHN L HARLAN</t>
  </si>
  <si>
    <t>Stephen L Raymond</t>
  </si>
  <si>
    <t>DONNA THORNTON  GREEN</t>
  </si>
  <si>
    <t>Daley  DeBofsky &amp; Bryant;David A Bryant</t>
  </si>
  <si>
    <t>DAVID  STRANGE</t>
  </si>
  <si>
    <t>Sharon  Gornstein</t>
  </si>
  <si>
    <t>Law Office of Martin Taller; APC</t>
  </si>
  <si>
    <t>Cheryl  Langston</t>
  </si>
  <si>
    <t>DON  BELL</t>
  </si>
  <si>
    <t>NICHOLAS D PURIFOY</t>
  </si>
  <si>
    <t>ANTHONY  HOYLE</t>
  </si>
  <si>
    <t>ELIZABETH  BOWER DUNLAP</t>
  </si>
  <si>
    <t>ANDREW T KOENIG</t>
  </si>
  <si>
    <t>W DANIEL  MAYES</t>
  </si>
  <si>
    <t>THOMAS A KRAUS</t>
  </si>
  <si>
    <t>MEGHAN  MCNAMARA-MILLER</t>
  </si>
  <si>
    <t>SWANSON THOMAS AND COON</t>
  </si>
  <si>
    <t>DREW L JOHNSON</t>
  </si>
  <si>
    <t>KIMBERLY  TUCKER;SWANSON THOMAS &amp; COON</t>
  </si>
  <si>
    <t>RICHARD  SLY</t>
  </si>
  <si>
    <t>WILLIAM J MCDONALD JR</t>
  </si>
  <si>
    <t>BRYAN I CLYMER</t>
  </si>
  <si>
    <t>Tim  Wilborn</t>
  </si>
  <si>
    <t>Drew L Johnson</t>
  </si>
  <si>
    <t>Joseph D Clark;Kenneth  Hiller</t>
  </si>
  <si>
    <t>GEORGIA H LUDLUM</t>
  </si>
  <si>
    <t>JEAN C OWEN;OCCUDATA INC</t>
  </si>
  <si>
    <t>SMART &amp; HARRIS;STEPHEN H HARRIS</t>
  </si>
  <si>
    <t>SWANSON; THOMAS &amp; COON</t>
  </si>
  <si>
    <t>JEANNINE  LAPLACE</t>
  </si>
  <si>
    <t>JEFFREY  SCHWAB</t>
  </si>
  <si>
    <t>RUTH K IRVIN</t>
  </si>
  <si>
    <t>JAMES  SPRUEL</t>
  </si>
  <si>
    <t>LEONARD H BRASHEAR</t>
  </si>
  <si>
    <t>CARLA J LAUER</t>
  </si>
  <si>
    <t>BYRON A LASSITER</t>
  </si>
  <si>
    <t>CHARLES L MARTIN</t>
  </si>
  <si>
    <t>Michael A Steinberg</t>
  </si>
  <si>
    <t>Marianna E McKnight</t>
  </si>
  <si>
    <t>Douglas C Brigandi</t>
  </si>
  <si>
    <t>Heather  Freeman</t>
  </si>
  <si>
    <t>Gayle L Troutman</t>
  </si>
  <si>
    <t>Ruth K Irvin</t>
  </si>
  <si>
    <t>Mary G Burchett-Bower</t>
  </si>
  <si>
    <t>DAVID  KUZNICKI</t>
  </si>
  <si>
    <t>JOHN S ROOSE</t>
  </si>
  <si>
    <t>DENNIS W MONTOYA;DENNIS W MONTOYA CLIENT TR ACCT</t>
  </si>
  <si>
    <t>ROBERT P YOUNG</t>
  </si>
  <si>
    <t>James P Shea</t>
  </si>
  <si>
    <t>W. DANIELS  MAYES</t>
  </si>
  <si>
    <t>COLIN E KEMMERLY</t>
  </si>
  <si>
    <t>GERALDINE  MIMS</t>
  </si>
  <si>
    <t>Amanda R Jordan</t>
  </si>
  <si>
    <t>SCOTT B ELKINS</t>
  </si>
  <si>
    <t>ROBERT E HEMPSON</t>
  </si>
  <si>
    <t>NOWELL S LESSER</t>
  </si>
  <si>
    <t>Troy  Monge</t>
  </si>
  <si>
    <t>GREY &amp; GREY LLP;RONALD L EPSTEIN</t>
  </si>
  <si>
    <t>FRANCIS  JACKSON;FRANCIS M JACKSON PA</t>
  </si>
  <si>
    <t>Carol  Goldstein</t>
  </si>
  <si>
    <t>Ryan Turchik; P.C. IOLTA</t>
  </si>
  <si>
    <t>Alan M Schiffman</t>
  </si>
  <si>
    <t>Robert  Friedman</t>
  </si>
  <si>
    <t>LEON M BOYAJAN</t>
  </si>
  <si>
    <t>Brock D Stiles</t>
  </si>
  <si>
    <t>HERBERT S FORSMITH</t>
  </si>
  <si>
    <t>Kenneth  Gormly</t>
  </si>
  <si>
    <t>Joseph L Koplin</t>
  </si>
  <si>
    <t>David  Namba</t>
  </si>
  <si>
    <t>Sandra  Widlan</t>
  </si>
  <si>
    <t>Harry J Binder</t>
  </si>
  <si>
    <t>Richard  Baum</t>
  </si>
  <si>
    <t>Jeanette  Laffoon</t>
  </si>
  <si>
    <t>Elie  Halpern</t>
  </si>
  <si>
    <t>Amy  Gilbrough</t>
  </si>
  <si>
    <t>Kathleen  Holt</t>
  </si>
  <si>
    <t>LAW OFFICES OF BINDER AND BINDER</t>
  </si>
  <si>
    <t>Byron A Lassiter</t>
  </si>
  <si>
    <t>Roger M Driskill</t>
  </si>
  <si>
    <t>JENNIFER L FAERBER</t>
  </si>
  <si>
    <t>Kenneth R Hiller</t>
  </si>
  <si>
    <t>Elizabeth B Dunlap</t>
  </si>
  <si>
    <t>DARREN T RACKLEY</t>
  </si>
  <si>
    <t>CONBOY MCKAY BACHMAN &amp; KENDALL LLP</t>
  </si>
  <si>
    <t>FUSCO BRANDENSTEIN &amp; RADA; P.C.</t>
  </si>
  <si>
    <t>BANDER BANDER &amp; ALVES;DAVID F BANDER</t>
  </si>
  <si>
    <t>Stuart  Barasch</t>
  </si>
  <si>
    <t>W D Mayes</t>
  </si>
  <si>
    <t>Green &amp; Greenberg</t>
  </si>
  <si>
    <t>William G Schwab</t>
  </si>
  <si>
    <t>J N Alexander</t>
  </si>
  <si>
    <t>Marjorie A Schmoyer</t>
  </si>
  <si>
    <t>Jean C Owens</t>
  </si>
  <si>
    <t>Deborah  Maury</t>
  </si>
  <si>
    <t>MARC I BARETZ</t>
  </si>
  <si>
    <t>J.W.  CHALKLEY</t>
  </si>
  <si>
    <t>ALVIN D WAX</t>
  </si>
  <si>
    <t>SHEA A FUGATE</t>
  </si>
  <si>
    <t>GERARD W LANGAN</t>
  </si>
  <si>
    <t>Herbert S Forsmith</t>
  </si>
  <si>
    <t>LAW OFFICE OF ROY W ANDERSON JR</t>
  </si>
  <si>
    <t>ARTHUR W STEVENS</t>
  </si>
  <si>
    <t>MICHAEL JAMES  KELLEY</t>
  </si>
  <si>
    <t>CATHERINE  BOWMAN</t>
  </si>
  <si>
    <t>LAW OFFICES OF MARTIN TALLER</t>
  </si>
  <si>
    <t>PETER  WALTON</t>
  </si>
  <si>
    <t>DANIEL A PARMELE</t>
  </si>
  <si>
    <t>PATRICIA  SHACKELFORD</t>
  </si>
  <si>
    <t>Anthony  Bartels</t>
  </si>
  <si>
    <t>VICTORIA J PIKE</t>
  </si>
  <si>
    <t>MARTONE LAW FIRM PA</t>
  </si>
  <si>
    <t>DONNA  THORNTON-GREEN</t>
  </si>
  <si>
    <t>NOLAN G EDWARDS</t>
  </si>
  <si>
    <t>Elkind Law  Offices LLC;Stephen P Shea</t>
  </si>
  <si>
    <t>Gary D Martone</t>
  </si>
  <si>
    <t>Gary J Martone</t>
  </si>
  <si>
    <t>JENNIFER F JANICKA</t>
  </si>
  <si>
    <t>Andrew T Koenig</t>
  </si>
  <si>
    <t>Leland &amp; Wasserman</t>
  </si>
  <si>
    <t>Robert  Hempson</t>
  </si>
  <si>
    <t>Kevin  Morton</t>
  </si>
  <si>
    <t>Teresa M Meacher</t>
  </si>
  <si>
    <t>W. Daniel  Mayes</t>
  </si>
  <si>
    <t>MARTONE LAW FIRM</t>
  </si>
  <si>
    <t>D. James  Tree</t>
  </si>
  <si>
    <t>DALE L BUCHANAN</t>
  </si>
  <si>
    <t>GEORGE J WALL</t>
  </si>
  <si>
    <t>DANIEL W EMERY</t>
  </si>
  <si>
    <t>MICHAEL A STEINBERG</t>
  </si>
  <si>
    <t>CHRISTINA M CARRANO</t>
  </si>
  <si>
    <t>DOROTHY  CLAY SIMS</t>
  </si>
  <si>
    <t>ROBERT C GRAY</t>
  </si>
  <si>
    <t>DAVID  NAMBA</t>
  </si>
  <si>
    <t>Gerald R Tarutis</t>
  </si>
  <si>
    <t>DAVID  ROBINSON</t>
  </si>
  <si>
    <t>John E Horn</t>
  </si>
  <si>
    <t>KEVIN L ORLOSKI</t>
  </si>
  <si>
    <t>GARY  LINARDUCCI</t>
  </si>
  <si>
    <t>ROGER D RIGGS</t>
  </si>
  <si>
    <t>GARY R PARVIN ATTORNEY AT LAW</t>
  </si>
  <si>
    <t>JEANETTE  LAFFOON</t>
  </si>
  <si>
    <t>HOWREY LLP</t>
  </si>
  <si>
    <t>CHARLES L MARTIN;MARTIN &amp; JONES</t>
  </si>
  <si>
    <t>PAUL  BURKHALTER</t>
  </si>
  <si>
    <t>ROBERT  REGER</t>
  </si>
  <si>
    <t>SCHIFF &amp; HULBERT</t>
  </si>
  <si>
    <t>SAM M CORING</t>
  </si>
  <si>
    <t>W D MAYES</t>
  </si>
  <si>
    <t>AMY  GILBROUGH</t>
  </si>
  <si>
    <t>SHERYL G MAZUR</t>
  </si>
  <si>
    <t>Law Office of Martin Taller</t>
  </si>
  <si>
    <t>DALEY DEBOFSKY &amp; BRYANT;FREDERICK J DALEY</t>
  </si>
  <si>
    <t>MAROUF LAW GROUP PLC</t>
  </si>
  <si>
    <t>STEVEN M CHABRE</t>
  </si>
  <si>
    <t>LAW OFFICE OF BARRY A SCHULTZ</t>
  </si>
  <si>
    <t>ROBERT C DAWES</t>
  </si>
  <si>
    <t>GAYLE L TROUTMAN</t>
  </si>
  <si>
    <t>MARJORIE A SCHMOYER</t>
  </si>
  <si>
    <t>THOMAS A KRAUSE</t>
  </si>
  <si>
    <t>EDWARD S RUE</t>
  </si>
  <si>
    <t>RICHARD A CULBERTSON</t>
  </si>
  <si>
    <t>CHADWICK J LAWRENCE</t>
  </si>
  <si>
    <t>ERIK  BERGER</t>
  </si>
  <si>
    <t>RONALD H WATSON</t>
  </si>
  <si>
    <t>ROGER W PLATA</t>
  </si>
  <si>
    <t>ERIC  BRUNSTROM</t>
  </si>
  <si>
    <t>BRUCE K KIRBY;DENNIS C O'DELL</t>
  </si>
  <si>
    <t>Enrique  Escarraz</t>
  </si>
  <si>
    <t>HARVEY P SACKETT</t>
  </si>
  <si>
    <t>KEN  COLLINS</t>
  </si>
  <si>
    <t>TEAL  PARHAM</t>
  </si>
  <si>
    <t>SANDRA  WIDLAN</t>
  </si>
  <si>
    <t>BLYTHE  GLEMMING</t>
  </si>
  <si>
    <t>Jennifer L Faerber</t>
  </si>
  <si>
    <t>Anne  Kysar</t>
  </si>
  <si>
    <t>GARY R PENAR</t>
  </si>
  <si>
    <t>JOHN BELL  WHITESELL</t>
  </si>
  <si>
    <t>STEPHEN P MAGUIRE</t>
  </si>
  <si>
    <t>GERALDING  MIMS</t>
  </si>
  <si>
    <t>Bess M Brewer</t>
  </si>
  <si>
    <t>Joseph C Fraulob</t>
  </si>
  <si>
    <t>BLYTHE  GLEMMING;STEPHANIE A TAYLOR</t>
  </si>
  <si>
    <t>DOUGLAS C J  BRIGANDI ESQ</t>
  </si>
  <si>
    <t>CHRISTOPHER  BOWES</t>
  </si>
  <si>
    <t>NANCY R MOGAB</t>
  </si>
  <si>
    <t>ROBIN R PARTIN</t>
  </si>
  <si>
    <t>LARRY J PITTS</t>
  </si>
  <si>
    <t>MAX  RAE</t>
  </si>
  <si>
    <t>Bryan I Clymer;Gerald S Frank</t>
  </si>
  <si>
    <t>IRWIN M PORTNOY</t>
  </si>
  <si>
    <t>Galye P Vojtush</t>
  </si>
  <si>
    <t>ANTHONY B LAMB</t>
  </si>
  <si>
    <t>GREGORY R HERRELL</t>
  </si>
  <si>
    <t>ERIC R COLE</t>
  </si>
  <si>
    <t>TODD  RENDA</t>
  </si>
  <si>
    <t>bess m brewer</t>
  </si>
  <si>
    <t>Paul  Burkhalter</t>
  </si>
  <si>
    <t>KENNETH R YOUNG</t>
  </si>
  <si>
    <t>PATRICK D H  SPENCER</t>
  </si>
  <si>
    <t>MICHAEL C ARNOLD</t>
  </si>
  <si>
    <t>Anne V Sprague</t>
  </si>
  <si>
    <t>Erin K McCabe</t>
  </si>
  <si>
    <t>MARY A GILSON;MENDEL  &amp; ASSOCIATES</t>
  </si>
  <si>
    <t>KIRSCH &amp; CLARK; PLLC</t>
  </si>
  <si>
    <t>NICOLINI PARADISE FERRETTI SABELLA PLLC</t>
  </si>
  <si>
    <t>Jennifer F Jancicka</t>
  </si>
  <si>
    <t>LORINA  AGUILAR;THE LAW OFFICE OF CHERYL LANGSTON</t>
  </si>
  <si>
    <t>JEFFREY A. RABIN &amp; ASSOCIATES</t>
  </si>
  <si>
    <t>AGNES S WLADYKA LLC</t>
  </si>
  <si>
    <t>PATRICK C H  SPENCER</t>
  </si>
  <si>
    <t>ALEX W RANKIN</t>
  </si>
  <si>
    <t>SUZANNE VILLALON-HINOJOSA</t>
  </si>
  <si>
    <t>LAURA L LICHTER</t>
  </si>
  <si>
    <t>THE LAW OFFICE OF ELIZABETH B DUNLAP</t>
  </si>
  <si>
    <t>MICHAEL J KELLEY</t>
  </si>
  <si>
    <t>MAJORIE A SCHMOYER</t>
  </si>
  <si>
    <t>DANIEL  PARMELE</t>
  </si>
  <si>
    <t>GEORGE A FIELDS</t>
  </si>
  <si>
    <t>George  Poulos</t>
  </si>
  <si>
    <t>Binder and Binder</t>
  </si>
  <si>
    <t>Ken  Ammann</t>
  </si>
  <si>
    <t>KYLE J SAUNDERS</t>
  </si>
  <si>
    <t>Roger W Plata</t>
  </si>
  <si>
    <t>Lawrence J Weinstein</t>
  </si>
  <si>
    <t>Beth  Arnold</t>
  </si>
  <si>
    <t>Steven M Rollins</t>
  </si>
  <si>
    <t>Carla J Thomas</t>
  </si>
  <si>
    <t>JOHN T MURRAY</t>
  </si>
  <si>
    <t>ANNE  BELL FANT</t>
  </si>
  <si>
    <t>ALAN H POLONSKY</t>
  </si>
  <si>
    <t>DAVID F Chermol</t>
  </si>
  <si>
    <t>NICHOLAS  PURIFOY</t>
  </si>
  <si>
    <t>JOSEPH  LAVIN</t>
  </si>
  <si>
    <t>PAUL W NOLAN</t>
  </si>
  <si>
    <t>GEORGE L FITZGERALD</t>
  </si>
  <si>
    <t>DOMINICK  BONINO</t>
  </si>
  <si>
    <t>WILLIAM P STARKS</t>
  </si>
  <si>
    <t>OWEN  MAYFIELD</t>
  </si>
  <si>
    <t>ELKIN LAW OFFICES LLC</t>
  </si>
  <si>
    <t>Elizabeth F Lunn</t>
  </si>
  <si>
    <t>Diane M Sauer</t>
  </si>
  <si>
    <t>ASHCRAFT &amp; GEREL; LLP</t>
  </si>
  <si>
    <t>Samuel S Blaufeld</t>
  </si>
  <si>
    <t>Gary R Parvin;John E Gough</t>
  </si>
  <si>
    <t>BROWN JACOBSON TILLINGHAST LAHAN &amp; KING;JOHN C WIRZBICKI</t>
  </si>
  <si>
    <t>John J Ingram</t>
  </si>
  <si>
    <t>Eric R Gotwalt;Robert  Rosenblum;Zipperer  Lorberbaum PC</t>
  </si>
  <si>
    <t>Dale L Buchanan</t>
  </si>
  <si>
    <t>Elkind  Law Office LLC;Stephen F Shea</t>
  </si>
  <si>
    <t>HACKEL AND HACKEL</t>
  </si>
  <si>
    <t>VAUGHN S CLAUSON</t>
  </si>
  <si>
    <t>ELKIND LAW OFFICES; INC</t>
  </si>
  <si>
    <t>JOHN P SPILKA</t>
  </si>
  <si>
    <t>DAVID J LAUDANO</t>
  </si>
  <si>
    <t>Steven  Gaechter</t>
  </si>
  <si>
    <t>QUATRINI RAFFERTY; P.C.</t>
  </si>
  <si>
    <t>LEONARD  GROSSMAN;MARTIN &amp; JONES</t>
  </si>
  <si>
    <t>MICHAEL P DUNLAP</t>
  </si>
  <si>
    <t>MARTIN &amp; JONES</t>
  </si>
  <si>
    <t>JON ERIK MUELLER</t>
  </si>
  <si>
    <t>David  Kuznicki</t>
  </si>
  <si>
    <t>MIKE  MURBURG</t>
  </si>
  <si>
    <t>ERICA J MANDELL</t>
  </si>
  <si>
    <t>Stephen  Maddox</t>
  </si>
  <si>
    <t>JESSICA C DUMAS</t>
  </si>
  <si>
    <t>Casey L Saunders</t>
  </si>
  <si>
    <t>Kielian &amp; Walther</t>
  </si>
  <si>
    <t>RICHARD  ROGERS</t>
  </si>
  <si>
    <t>RICHARD  BAUM</t>
  </si>
  <si>
    <t>Rosemary  Schurman</t>
  </si>
  <si>
    <t>Robert A Friedman</t>
  </si>
  <si>
    <t>JOHN  ERIK MUELLER</t>
  </si>
  <si>
    <t>STEPHANIE M. SIMPSON LAW OFFICES</t>
  </si>
  <si>
    <t>STEVE  TILTON</t>
  </si>
  <si>
    <t>Joseph D Clark</t>
  </si>
  <si>
    <t>Andrew  Koenig</t>
  </si>
  <si>
    <t>EDWARD B. CLAXTON III; LLC</t>
  </si>
  <si>
    <t>TIMOTHY T SEMPF</t>
  </si>
  <si>
    <t>Ian  Sammis</t>
  </si>
  <si>
    <t>EDWARD J CLOOS</t>
  </si>
  <si>
    <t>MARK E BUCHNER</t>
  </si>
  <si>
    <t>ERIC J FISHER</t>
  </si>
  <si>
    <t>MICHAEL PATRICK  BOYLE</t>
  </si>
  <si>
    <t>Robert  Kelly</t>
  </si>
  <si>
    <t>JOHN E HORN</t>
  </si>
  <si>
    <t>THOMAS N SHERIDAN</t>
  </si>
  <si>
    <t>Law Offices of Martin Taller</t>
  </si>
  <si>
    <t>ANGELA  PINTO ROSS</t>
  </si>
  <si>
    <t>BLAKE  PARKER</t>
  </si>
  <si>
    <t>Jennifer H Walker</t>
  </si>
  <si>
    <t>Kitchen &amp; Thornton-Green Esq</t>
  </si>
  <si>
    <t>Mark M McDonald</t>
  </si>
  <si>
    <t>DENNIS C MAHONEY</t>
  </si>
  <si>
    <t>Alvin D Wax</t>
  </si>
  <si>
    <t>ROBERT A PETRUZZELLI</t>
  </si>
  <si>
    <t>Alex W Rankin</t>
  </si>
  <si>
    <t>Geraldine  Mims;Sharon  Whitaker</t>
  </si>
  <si>
    <t>Michael D Clay</t>
  </si>
  <si>
    <t>STEPHEN F SHEA</t>
  </si>
  <si>
    <t>ANGELO J FALCONE</t>
  </si>
  <si>
    <t>Josephine A Greco</t>
  </si>
  <si>
    <t>Law Offices of Susan R. Wasserman</t>
  </si>
  <si>
    <t>Rosemary B Schurman</t>
  </si>
  <si>
    <t>Barry A Schultz</t>
  </si>
  <si>
    <t>HUGH M FIELD</t>
  </si>
  <si>
    <t>ROSEMARY B SCHURMAN</t>
  </si>
  <si>
    <t>JENNIFER H WALKER</t>
  </si>
  <si>
    <t>KENNETH N GORMLY</t>
  </si>
  <si>
    <t>RICHARD P MORRIS</t>
  </si>
  <si>
    <t>SPEICHER LAW FIRM</t>
  </si>
  <si>
    <t>JON ERIK  MUELLER</t>
  </si>
  <si>
    <t>Andrew T Keonig</t>
  </si>
  <si>
    <t>STACEY  HARDIN HIBBARD</t>
  </si>
  <si>
    <t>BRIAN I CLYMER</t>
  </si>
  <si>
    <t>TRACI L SEVERS</t>
  </si>
  <si>
    <t>JEFFREY M. FLYNN; P.C.</t>
  </si>
  <si>
    <t>CHARLES S SCOTT</t>
  </si>
  <si>
    <t>GEORGE C PIEMONTE</t>
  </si>
  <si>
    <t>MICHAEL R GREEN</t>
  </si>
  <si>
    <t>MATHIS &amp; MATHIS PC</t>
  </si>
  <si>
    <t>Surface Mining Recl</t>
  </si>
  <si>
    <t>WALTON D. MORRIS; ATTY AT LAW TRUST ACCT</t>
  </si>
  <si>
    <t xml:space="preserve">30-USC-1270              </t>
  </si>
  <si>
    <t>Surface Minining Control &amp; Reclamation Act</t>
  </si>
  <si>
    <t>MORRIS LAW OFFICE PC</t>
  </si>
  <si>
    <t>Surface Transportation Board</t>
  </si>
  <si>
    <t>CECILIA  FEX</t>
  </si>
  <si>
    <t>Treasury Forfeiture Fund</t>
  </si>
  <si>
    <t xml:space="preserve">21-USC-881               </t>
  </si>
  <si>
    <t>Criminal Forfeiture</t>
  </si>
  <si>
    <t>U.S. Capitol Police</t>
  </si>
  <si>
    <t>GEORGE  BASSIAS</t>
  </si>
  <si>
    <t>U.S. Equal Employment Opportunity Comm.</t>
  </si>
  <si>
    <t>KRISTI CULBERTSON LITTLE MENDELSON</t>
  </si>
  <si>
    <t>BRENNAN  BOLT;FREDERICK J HANNA &amp; ASSOCIATION;MCGUIREWOODS LLP</t>
  </si>
  <si>
    <t>DIANE L BORNSCHEUER;GREEN &amp; BAKER;KATHERINE E BAKER</t>
  </si>
  <si>
    <t>DANIEL J CLARK;VORYS SATER SEYMOUR &amp; PEASE LLP</t>
  </si>
  <si>
    <t>FRED T HAMLET</t>
  </si>
  <si>
    <t>GEORGE MCFALL; SAMANTHA ADAMS</t>
  </si>
  <si>
    <t>DUANE  GILKEY</t>
  </si>
  <si>
    <t>THERESA  GALLION</t>
  </si>
  <si>
    <t>SWIFT CURRIE MCGHEE &amp; HIERS LLP</t>
  </si>
  <si>
    <t>US Army Corps of Engineers</t>
  </si>
  <si>
    <t>MILTON L SMITH</t>
  </si>
  <si>
    <t>DAVID M FREEMAN</t>
  </si>
  <si>
    <t>Robert H Crick</t>
  </si>
  <si>
    <t>JOY E HERR-CARDILLO FOR W.T.C.C.; INC</t>
  </si>
  <si>
    <t>JAMES  FREEMAN</t>
  </si>
  <si>
    <t>DANIEL G BLACKBURN;DAVIS &amp; FIELDS PC IOLTA</t>
  </si>
  <si>
    <t xml:space="preserve">42-USC-4654              </t>
  </si>
  <si>
    <t>Litigation Expenses In Inverse Condemnation Cases</t>
  </si>
  <si>
    <t>Richard L Jones</t>
  </si>
  <si>
    <t>Christensen James &amp; Martin</t>
  </si>
  <si>
    <t>LYDIA  DUFF</t>
  </si>
  <si>
    <t>SKEEN &amp; KAUFFMAN LLP</t>
  </si>
  <si>
    <t>JAMES D SKEEN;SKEEN &amp; KAUFFMAN LLP</t>
  </si>
  <si>
    <t>Joseph A Yazbeck</t>
  </si>
  <si>
    <t>HOLMES WEDDLE &amp; BARCOTT; P.C .</t>
  </si>
  <si>
    <t>Pietragallo Gordon Alfano Bosick</t>
  </si>
  <si>
    <t>William P Crews LLC</t>
  </si>
  <si>
    <t>DARIO YACKER SUAREZ &amp; ALBERT LLC</t>
  </si>
  <si>
    <t>WASHINGTON DC TRUST ACCT</t>
  </si>
  <si>
    <t>ARNOLD T PHILLIPS IOLTA</t>
  </si>
  <si>
    <t>EDWARD J. WOMAC; JR &amp; ASSOC.; L.L.C.</t>
  </si>
  <si>
    <t>JOSE R REYES-HERNANDEZ</t>
  </si>
  <si>
    <t>WILLIAM R HOPKINS</t>
  </si>
  <si>
    <t>Administrative Payments:</t>
  </si>
  <si>
    <t>THE BLANKENSHIP LAW FIRM PS</t>
  </si>
  <si>
    <t>KAREN  SEELEY-HODGE</t>
  </si>
  <si>
    <t>LAW OFC OF FRANK J CHRISTY JR</t>
  </si>
  <si>
    <t>Reuben B Collins</t>
  </si>
  <si>
    <t>ALLEN ALLEN ALLEN &amp; ALLEN;CHRIS  CLOUDE</t>
  </si>
  <si>
    <t>Allen; Allen Allen &amp;  Allen;Chris  Cloude</t>
  </si>
  <si>
    <t>CONSUMER DEFENSE ATTORNEYS;OFFICE OF THOMAS D RUTLEDGE</t>
  </si>
  <si>
    <t>KEVIN L LOCKLIN</t>
  </si>
  <si>
    <t>J BRIAN TANSEY LLC</t>
  </si>
  <si>
    <t>MONTES HERALD LAW GROUP LLP</t>
  </si>
  <si>
    <t>MICHAEL J GOLPIN;MILAD K FARAH</t>
  </si>
  <si>
    <t>Barbara G Banks</t>
  </si>
  <si>
    <t>OFFICES OF TANYA GENDELMAN</t>
  </si>
  <si>
    <t>MCNEELY STEPHENSON THOPY &amp; HARROLD</t>
  </si>
  <si>
    <t>Tony Milazzo  Hebbler &amp; Giordano LLC</t>
  </si>
  <si>
    <t>RUIZ LAW FIRM</t>
  </si>
  <si>
    <t>Morse &amp; Associates</t>
  </si>
  <si>
    <t>Animal &amp; Plant Hlth; Department of Agriculture</t>
  </si>
  <si>
    <t>Bonneville Power</t>
  </si>
  <si>
    <t>RIVERA LAW OFFICES</t>
  </si>
  <si>
    <t>BRADLEY S LICHTMAN;LAUREN K MEACHUM</t>
  </si>
  <si>
    <t>KATHY  NEZ</t>
  </si>
  <si>
    <t>SEVERIANO A RODARTE</t>
  </si>
  <si>
    <t>WILLIAM SNAPP DOWNS &amp; ASSO</t>
  </si>
  <si>
    <t>JOHN  ALEXANDER</t>
  </si>
  <si>
    <t>OLINGER LOVALD MCCAHREN REIMERS TR ACCT</t>
  </si>
  <si>
    <t>RUDY  VALENZUELA</t>
  </si>
  <si>
    <t>Javitch Block  Rathbone</t>
  </si>
  <si>
    <t>RICH  BOWERS</t>
  </si>
  <si>
    <t xml:space="preserve">28-USC-2672  Fire-Flood  </t>
  </si>
  <si>
    <t>Federal Tort Claims Act/Admin/Fire-Flood</t>
  </si>
  <si>
    <t>JAVITCH BLOCK &amp; RATHBONE</t>
  </si>
  <si>
    <t>WELMAN WEINBERG &amp; REIS CO L P A</t>
  </si>
  <si>
    <t>Bur of Labor Stat</t>
  </si>
  <si>
    <t>SAM L LEVINE</t>
  </si>
  <si>
    <t>STEPHEN D FOSTER</t>
  </si>
  <si>
    <t>ALBRIGHT YEE &amp; SCHMIT LLP</t>
  </si>
  <si>
    <t>MICKIE  RILEY</t>
  </si>
  <si>
    <t>JUDY  CLEMENTS</t>
  </si>
  <si>
    <t>VINCENT  QUIGG</t>
  </si>
  <si>
    <t>EMILY  SHACK OF SHLESINGER &amp; DEVILLEN</t>
  </si>
  <si>
    <t>Siegfried &amp;  Jensen Trust Account</t>
  </si>
  <si>
    <t>MICHAEL J GOPIN</t>
  </si>
  <si>
    <t xml:space="preserve">31-USC-3723              </t>
  </si>
  <si>
    <t>Small Claims Act</t>
  </si>
  <si>
    <t>ALVIN  THOMPSON</t>
  </si>
  <si>
    <t>MCCRANEY MONTAGNET &amp; QUIN</t>
  </si>
  <si>
    <t>JOAQUIN &amp; DUNCAN; L.L.C</t>
  </si>
  <si>
    <t>TURNER PADGET GRAHAM &amp; LANEY PA</t>
  </si>
  <si>
    <t>Bureau of Prisons; Marshals Service</t>
  </si>
  <si>
    <t>DAVID M NESTER</t>
  </si>
  <si>
    <t>LAW OFFICES OF JONATHAN BRAND</t>
  </si>
  <si>
    <t>CHARLES J FRATUS</t>
  </si>
  <si>
    <t>Law Office of Phuc Dinh</t>
  </si>
  <si>
    <t>JOSEPH G McKELLAR</t>
  </si>
  <si>
    <t>Frank  Lawrence</t>
  </si>
  <si>
    <t>Frank  Lawrence;Marcari; Russotto  Spencer Balaban Iolt</t>
  </si>
  <si>
    <t>Frank D Lawrence</t>
  </si>
  <si>
    <t>MARCARI RUSSOTTO SPENCER BALABAN</t>
  </si>
  <si>
    <t>JOHN  O'DWYER</t>
  </si>
  <si>
    <t>JERRY  WIDAWSKI</t>
  </si>
  <si>
    <t>Ctr for Disease Cont</t>
  </si>
  <si>
    <t>CARONNA JOHNSON &amp; HODDICK LLP</t>
  </si>
  <si>
    <t>DAVIS LAW FIRM</t>
  </si>
  <si>
    <t>LAW OFFICE OF MICHAEL GOPIN;RICHARDO  RIOS</t>
  </si>
  <si>
    <t>Alexandria  Begum</t>
  </si>
  <si>
    <t>JEFF RICHARDS PC</t>
  </si>
  <si>
    <t>STEVEN  ESCALERA</t>
  </si>
  <si>
    <t>J B LOVE JR</t>
  </si>
  <si>
    <t>ANTHONY C CARONNA;CARONNA; JOHNSON &amp; CYNTHIA DUENAS</t>
  </si>
  <si>
    <t>DESI  MARTINEZ</t>
  </si>
  <si>
    <t>MARTINEZ &amp; ASSOCIATES; P.L.L.C.</t>
  </si>
  <si>
    <t>INGLE LAW FIRM</t>
  </si>
  <si>
    <t>Ingle Law  Firm</t>
  </si>
  <si>
    <t>MORRIS  BART</t>
  </si>
  <si>
    <t>Martinez and Associates; PLC</t>
  </si>
  <si>
    <t>Alexander  Begum</t>
  </si>
  <si>
    <t>THOMAS G KELLY</t>
  </si>
  <si>
    <t>GARY A ROSENBERG APC</t>
  </si>
  <si>
    <t>PLOTSKY &amp; DOUGHERTY</t>
  </si>
  <si>
    <t>PAUL  CLINTON</t>
  </si>
  <si>
    <t>Brad  Fagg</t>
  </si>
  <si>
    <t>NEAL S SUNDEEN</t>
  </si>
  <si>
    <t>JAMES C DEZAO</t>
  </si>
  <si>
    <t>FRATUS/BRADY; LLC</t>
  </si>
  <si>
    <t>DAVID O LEHMAN</t>
  </si>
  <si>
    <t>WENDY  PRZYTULA</t>
  </si>
  <si>
    <t>GREGORY E SCHWARTZ PA TRUST</t>
  </si>
  <si>
    <t>ALLEN D WERTER</t>
  </si>
  <si>
    <t>Pressler &amp; Senftle PC</t>
  </si>
  <si>
    <t>Department of Justice; Department of Navy</t>
  </si>
  <si>
    <t>Department of Justice; Fed Bureau of Invest</t>
  </si>
  <si>
    <t>TIMOTHY J MCKAY</t>
  </si>
  <si>
    <t>yost &amp; baill</t>
  </si>
  <si>
    <t>BOOTH &amp; MOSES ATTORNEYS AT LAW</t>
  </si>
  <si>
    <t>LEOPOLD~KUVIN; P.A.</t>
  </si>
  <si>
    <t>GREENBERG LAW OFFICES</t>
  </si>
  <si>
    <t>LAW OFFICES OF BURTON J HASS</t>
  </si>
  <si>
    <t>LAW OFFICES OF MARC J GIRSH LLC</t>
  </si>
  <si>
    <t>LAW OFFICES OF KOKOLAKIS &amp; ASSOCIATES PC</t>
  </si>
  <si>
    <t xml:space="preserve">28-USC-2672 Aircrash     </t>
  </si>
  <si>
    <t>Federal Tort Claims AcAircrasht/Admin/Aircrash</t>
  </si>
  <si>
    <t>MCKENRY; DANCIGERS; DAWSON &amp; LAKE; P.C.</t>
  </si>
  <si>
    <t>HULSE STUCKI: PROFESSIONAL LLC</t>
  </si>
  <si>
    <t>THE LAW OFFICE OF PEACH &amp; WEATHERS</t>
  </si>
  <si>
    <t>SHLESINGER &amp; DEVILLENEUVE</t>
  </si>
  <si>
    <t>SHLESINGER &amp; DEVILLENEUVE; PC</t>
  </si>
  <si>
    <t>JOSEPH D BOWEN</t>
  </si>
  <si>
    <t>PIERCE &amp; THORNTON; PLC</t>
  </si>
  <si>
    <t>TIM WILLIAMS LAW OFFICE; PLLC</t>
  </si>
  <si>
    <t>MELENDRES; MELENDRES &amp; HARRIGAN</t>
  </si>
  <si>
    <t>CASEY GERRY LLP</t>
  </si>
  <si>
    <t>RICHARD L KREGER ATTORNEY PLLC</t>
  </si>
  <si>
    <t>DANIEL R DENTON PC</t>
  </si>
  <si>
    <t>CICCHIELLO AND CICCHIELLO LLC</t>
  </si>
  <si>
    <t>RENSIN AND ROSENSTEIN LLP</t>
  </si>
  <si>
    <t>LAW OFFICES OF JAIME ALVARADO</t>
  </si>
  <si>
    <t>CULBRETH SCHROEDER LLP</t>
  </si>
  <si>
    <t>DUDLEY DEBOSIER INJURY LAWYERS</t>
  </si>
  <si>
    <t>DUDLEY DEBOSIER INURY LAWYERS</t>
  </si>
  <si>
    <t>CHARLES J MILLER</t>
  </si>
  <si>
    <t>THE SENICH LAW FIRM; LLC</t>
  </si>
  <si>
    <t>THE JAKLITSCH LAW GROUP</t>
  </si>
  <si>
    <t>THE GUAJARDO LAW FIRM</t>
  </si>
  <si>
    <t>CORISH HILL AND ASSOCIATES PLLC</t>
  </si>
  <si>
    <t>KEVIN PAUL CHILDERS PC</t>
  </si>
  <si>
    <t>RANDALL D WEISSFELD</t>
  </si>
  <si>
    <t>HARVEY AND MUMFORD LLP</t>
  </si>
  <si>
    <t>RUIZ &amp; ASSOCIATES PC</t>
  </si>
  <si>
    <t>MCNALLY LAW OFFICES</t>
  </si>
  <si>
    <t>LAW OFFICES OF O'KEEFE AND GALE</t>
  </si>
  <si>
    <t>LAW OFFICES OF RENE CASTELLANOS</t>
  </si>
  <si>
    <t>ISAACS AND ISAACS PSC</t>
  </si>
  <si>
    <t>MICHAEL S BLUMENTHAL</t>
  </si>
  <si>
    <t>LAWRENCE K LAND PC</t>
  </si>
  <si>
    <t>RYAN AND BROWN PA</t>
  </si>
  <si>
    <t xml:space="preserve">10-USC-2733              </t>
  </si>
  <si>
    <t>Military Claims Act</t>
  </si>
  <si>
    <t>LAW OFFICES OF TOM MCGRATH</t>
  </si>
  <si>
    <t>VENGROFF; WILLIAMS &amp; ASSOCIATES</t>
  </si>
  <si>
    <t>MONTLICK AND ASSOCIATES PC</t>
  </si>
  <si>
    <t>MICHLES AND  BOOTH PA</t>
  </si>
  <si>
    <t>MICHLES AND BOOTH PA</t>
  </si>
  <si>
    <t>RYAN &amp; BROWN P.A.</t>
  </si>
  <si>
    <t>BURNS MIRANDA AND ASSOCIATES</t>
  </si>
  <si>
    <t>RAPPOPORT DEGIOVANNI &amp; CASLOWITZ</t>
  </si>
  <si>
    <t>LAW OFFICES OF ILONA ALTMAN</t>
  </si>
  <si>
    <t>WEINER RYAN &amp; MAZZEI</t>
  </si>
  <si>
    <t>LAW OFFICES OF ADDISON-DARDEN PC</t>
  </si>
  <si>
    <t>JOSEPH GREENWALD &amp; LAAKE PA</t>
  </si>
  <si>
    <t>CURRIER &amp; TRASK PA</t>
  </si>
  <si>
    <t>FRATUS BRADY LLC</t>
  </si>
  <si>
    <t>DOWNS &amp; ASSOCIATES</t>
  </si>
  <si>
    <t>ARCHULETA; ALSAFFAR &amp; HIGGINBOTHAM</t>
  </si>
  <si>
    <t>GORDON FEINBLATT LLC</t>
  </si>
  <si>
    <t>KALFUS &amp; NACHMAN; P.C.</t>
  </si>
  <si>
    <t>GAY &amp; ASSOCIATES</t>
  </si>
  <si>
    <t>STEVEN L RASKIND; ATTORNEY AT LAW</t>
  </si>
  <si>
    <t>Law Office of Diana Fuentes Aguilar</t>
  </si>
  <si>
    <t>Casino Law Group</t>
  </si>
  <si>
    <t>David &amp; Associates; PLLC</t>
  </si>
  <si>
    <t>Vengroff; Williams &amp;  Associates</t>
  </si>
  <si>
    <t>RUBIN ASSOCIATES INTERNATIONAL LAW; P.C.</t>
  </si>
  <si>
    <t>Law Offices of Bruce M Bunch</t>
  </si>
  <si>
    <t>Kotzker Shamy PL</t>
  </si>
  <si>
    <t>J. Gonzalez Law Firm</t>
  </si>
  <si>
    <t>Associates &amp; Bruce L. Scheiner; PA</t>
  </si>
  <si>
    <t>The Manginello Law Firm; PLLC</t>
  </si>
  <si>
    <t>Gladys  Lofton</t>
  </si>
  <si>
    <t>J. Scott Watson; P.C.</t>
  </si>
  <si>
    <t>Christopher J Tinley; P.C.</t>
  </si>
  <si>
    <t>Harrison White Smith &amp; Coggins P.C.</t>
  </si>
  <si>
    <t>Law Office of George D Reyes</t>
  </si>
  <si>
    <t>Burns Miranda and Associates</t>
  </si>
  <si>
    <t>Hauptman O'Brien Wolf &amp; Lathrop PC</t>
  </si>
  <si>
    <t>Jason  Galindo</t>
  </si>
  <si>
    <t>Kalfus &amp; Nachman</t>
  </si>
  <si>
    <t>Lanier; Fountain &amp; Ceruzzi</t>
  </si>
  <si>
    <t>Nahon; Saharovich &amp; Trotz PLC</t>
  </si>
  <si>
    <t>Nahon; Saharovich; &amp; Trotz PLC</t>
  </si>
  <si>
    <t>Ingerman &amp; Horwitz LLP</t>
  </si>
  <si>
    <t>Rainer &amp; Rainer LLC</t>
  </si>
  <si>
    <t>Storer Injury Lawyers PLLC</t>
  </si>
  <si>
    <t>The Hart Law Firm</t>
  </si>
  <si>
    <t>Reed &amp; Terry</t>
  </si>
  <si>
    <t>Wall Liebert &amp; Lund PS</t>
  </si>
  <si>
    <t>Lebowitz &amp; Mzhen LLC</t>
  </si>
  <si>
    <t>Herrman &amp; Herrman LLP</t>
  </si>
  <si>
    <t>The Wilkins Law Firm P.C</t>
  </si>
  <si>
    <t>Rawls &amp; McNelis PC</t>
  </si>
  <si>
    <t>David and Associates P.L.L.C</t>
  </si>
  <si>
    <t>Howard W Seiselmeyer</t>
  </si>
  <si>
    <t>Barbara  Rodriguez</t>
  </si>
  <si>
    <t>Wilkinson &amp; Wilkinson</t>
  </si>
  <si>
    <t>Washington Legal Group LLC</t>
  </si>
  <si>
    <t>Brawer; Hirsch; &amp; Associates PA</t>
  </si>
  <si>
    <t>Inman &amp; Strickler P.L.C.</t>
  </si>
  <si>
    <t>Ofori Law Firm LLC</t>
  </si>
  <si>
    <t>Riddle &amp; Brantley LLP</t>
  </si>
  <si>
    <t>The Morgan Firm PA DBA Morgan &amp; Morgan</t>
  </si>
  <si>
    <t>Alicia A Slaughter</t>
  </si>
  <si>
    <t>Rad  Law Firm P.C.</t>
  </si>
  <si>
    <t>Flint &amp;  Soyers PC</t>
  </si>
  <si>
    <t>Weill and Long PLLC</t>
  </si>
  <si>
    <t>Leopold-Kuvin</t>
  </si>
  <si>
    <t>Law Offices of Jugo &amp; Murphy</t>
  </si>
  <si>
    <t>CHARLES W COE</t>
  </si>
  <si>
    <t>Mark L Rosenberg</t>
  </si>
  <si>
    <t>Law Offices of Ryan A. Lahuti; P.C.</t>
  </si>
  <si>
    <t>Brad  Lee</t>
  </si>
  <si>
    <t>HIDAY &amp; RICKE PA</t>
  </si>
  <si>
    <t>WEBB &amp; D'ORAZIO IOLTA ACCOUNT</t>
  </si>
  <si>
    <t>D Tyler Nabors  Crumley Roberts</t>
  </si>
  <si>
    <t>Virginia  Buchanan</t>
  </si>
  <si>
    <t xml:space="preserve">10-USC-2734              </t>
  </si>
  <si>
    <t>Foreign Claims Act</t>
  </si>
  <si>
    <t>McGowan &amp;  Cecil LLC</t>
  </si>
  <si>
    <t>Brett  Tessler</t>
  </si>
  <si>
    <t>Crawley M Kemp</t>
  </si>
  <si>
    <t>Dan A Goldberg</t>
  </si>
  <si>
    <t>GOODMAN ALLEN &amp; FILETTI</t>
  </si>
  <si>
    <t>EDWARD T WELLS;THE PERSONAL INJURY LAWFIRM</t>
  </si>
  <si>
    <t>JOSEPH P CALLAHAN;RAWL &amp; MCNEILS</t>
  </si>
  <si>
    <t>CHARLES J PATERNOSTRO-IOLTA</t>
  </si>
  <si>
    <t>COLBERT LAW FIRM LLC;JANELLE  RYAN-COLBERT</t>
  </si>
  <si>
    <t>CHARTERED;RACINE OLSON NYE BUDGE &amp; BAILEY</t>
  </si>
  <si>
    <t xml:space="preserve">32-USC-715               </t>
  </si>
  <si>
    <t>National Guard Claims</t>
  </si>
  <si>
    <t>MATTHIESEN WICKERT &amp; LEHER</t>
  </si>
  <si>
    <t>IOLTA TRUST ACCT;THOMAS I TEMPLE;WILLIAM R SATTERBERG ATTORNEY AT LAW</t>
  </si>
  <si>
    <t>LAW OFFICES OF MICHAEL ROSIER;MICHAHEL  ROSIER</t>
  </si>
  <si>
    <t>WILLIAM G FISCHER SR COLTAF ACCT</t>
  </si>
  <si>
    <t>DAVID P SHELDON</t>
  </si>
  <si>
    <t>LAW OFFICE OF ROBERT D STONE LLC</t>
  </si>
  <si>
    <t>Jack G Bernstein</t>
  </si>
  <si>
    <t>William R Bieler</t>
  </si>
  <si>
    <t>JOSEPH  SMITH LTD</t>
  </si>
  <si>
    <t>LAW OFFICE OF BRIAN BRANDT</t>
  </si>
  <si>
    <t>Theodore S Forman</t>
  </si>
  <si>
    <t>Kevin W Stouwie;Stouwie  Mayo PLLC</t>
  </si>
  <si>
    <t>Law Offices of Maloney &amp; Campola LLP</t>
  </si>
  <si>
    <t>BARRY J HOCKFIELD</t>
  </si>
  <si>
    <t>B. MILLS  LATHAM</t>
  </si>
  <si>
    <t>CLIENT TR;SEAN K CLAGGETT &amp; ASSO ATTORNEY</t>
  </si>
  <si>
    <t>MORRIS BART; LLC IOLTA TRUST ACCT</t>
  </si>
  <si>
    <t>SEAN K CLAGGET</t>
  </si>
  <si>
    <t>RICHARD C STODDARD</t>
  </si>
  <si>
    <t>Mark  La Rocque</t>
  </si>
  <si>
    <t>CROSS &amp; BENNETT TR ACCT</t>
  </si>
  <si>
    <t>DIANA M LITTLEPAGE PA</t>
  </si>
  <si>
    <t>VENGROFF WILLIAMS &amp; ASSOCIATES INC</t>
  </si>
  <si>
    <t>MICHAEL G HOSTILO LLC IOLTA ACCT</t>
  </si>
  <si>
    <t>BRIAN  KING</t>
  </si>
  <si>
    <t>KELLER &amp; KELLER</t>
  </si>
  <si>
    <t>MICHAEL G. HOSTILO; LLC IOLTA ACCT</t>
  </si>
  <si>
    <t>MICHAEL G. HOSTILO LLC IOLTA ACCT</t>
  </si>
  <si>
    <t>ARI S CASPER;STEIN MITCHELL &amp;  MUSE ATTNY TRT ACCOUNT</t>
  </si>
  <si>
    <t xml:space="preserve">10-USC-2734b             </t>
  </si>
  <si>
    <t>SOFA" Torts In U.S.</t>
  </si>
  <si>
    <t>Stephen  Paul</t>
  </si>
  <si>
    <t>Serpe; Andree &amp; Kaufman</t>
  </si>
  <si>
    <t>Ryan &amp; Brown; P.A.</t>
  </si>
  <si>
    <t>Laurie  Higginbotham;Michael  Archuleta</t>
  </si>
  <si>
    <t>BRINKLEY AND CHESTNUT</t>
  </si>
  <si>
    <t>THOMAS W HAMRICK</t>
  </si>
  <si>
    <t>JOSEPH M JACHETTI</t>
  </si>
  <si>
    <t>Richard A Peniston</t>
  </si>
  <si>
    <t>JOHN D SILEO</t>
  </si>
  <si>
    <t>Law Offices Clark &amp; Johnson</t>
  </si>
  <si>
    <t>JOHN F BELLEFONTAINE</t>
  </si>
  <si>
    <t>John F Bellenfontaine</t>
  </si>
  <si>
    <t>RICHARD  PENISTON</t>
  </si>
  <si>
    <t>THE REYNA LAW FIRM PC</t>
  </si>
  <si>
    <t>Anthony R. Lopez &amp; Associates</t>
  </si>
  <si>
    <t>JEFFREY C BRINKERHOFF</t>
  </si>
  <si>
    <t>THE SWEENEY FIRM LAWYERS</t>
  </si>
  <si>
    <t>THE REYNA LAW FIRM; P.C.</t>
  </si>
  <si>
    <t>Crumley  Roberts</t>
  </si>
  <si>
    <t>Joseph W Walker</t>
  </si>
  <si>
    <t>REBECCA  COMAN SCOPP</t>
  </si>
  <si>
    <t>CHRISTINA  JIMENEZ</t>
  </si>
  <si>
    <t>Leonard  Morales</t>
  </si>
  <si>
    <t>OLTMAN &amp; MAISEL</t>
  </si>
  <si>
    <t>BOLDEN ASSOCIATES LLC</t>
  </si>
  <si>
    <t>DAVID LEE  ZURAVEL</t>
  </si>
  <si>
    <t>Ali; Pappas &amp;  Cox</t>
  </si>
  <si>
    <t>L BISHOP AUSTIN ATTORNEY AT LAW</t>
  </si>
  <si>
    <t>Schulman &amp; Kaufman</t>
  </si>
  <si>
    <t>Archuleta Alsaffar &amp; Higginbotham</t>
  </si>
  <si>
    <t>Steven R Smith</t>
  </si>
  <si>
    <t>Hernan D Cardeno</t>
  </si>
  <si>
    <t>Russell A Spatz</t>
  </si>
  <si>
    <t xml:space="preserve">28-USC-2672 Prop-Seize   </t>
  </si>
  <si>
    <t>Federal Tort Claims Act/Admin/Prop-Seize</t>
  </si>
  <si>
    <t>JUSTO  FERNANDEZ-GONZALEZ</t>
  </si>
  <si>
    <t>BELSKY; WEINBERG &amp; HOROWITZ LLC</t>
  </si>
  <si>
    <t>CLINT  BRASHER</t>
  </si>
  <si>
    <t>JAVITCH; BLOCK &amp; RATHBONE</t>
  </si>
  <si>
    <t>JAMES J RYAN</t>
  </si>
  <si>
    <t>IOLTA TRUST JOHN GROST</t>
  </si>
  <si>
    <t>JOHN BRIAN  FROCK</t>
  </si>
  <si>
    <t>Daniel R Shephard</t>
  </si>
  <si>
    <t>Law Offices of Jeffrey C. Anderson</t>
  </si>
  <si>
    <t>NUTT LAW FIRM</t>
  </si>
  <si>
    <t>Francis  Lynch</t>
  </si>
  <si>
    <t>Warren  Mark</t>
  </si>
  <si>
    <t>RUSSELL L POTTER</t>
  </si>
  <si>
    <t>LAW OFFICES OF JAN MEYER &amp; ASSOC.; PC</t>
  </si>
  <si>
    <t>Rutter Mills; attorneys at law LLP</t>
  </si>
  <si>
    <t>Joseph M Elio;Rosenthal &amp; Heymann; LLC</t>
  </si>
  <si>
    <t>MINTZ LAW FIRM LLC</t>
  </si>
  <si>
    <t>DEAN H FREEMAN</t>
  </si>
  <si>
    <t>LAW FIRM OF LEO AND ONEIL</t>
  </si>
  <si>
    <t>Berman; O'Connor &amp; Mann</t>
  </si>
  <si>
    <t>JUSTICE INJURY LAWYERS LLP TRUST ACCOUNT</t>
  </si>
  <si>
    <t>THOMAS W KAVANAGH</t>
  </si>
  <si>
    <t>Archuleta; Alsaffar &amp; Higginbotham</t>
  </si>
  <si>
    <t>GUY N PAOLINO</t>
  </si>
  <si>
    <t>Tracy N D'Amico</t>
  </si>
  <si>
    <t>MENTER RUDIN &amp; TRIVELPIECE PC</t>
  </si>
  <si>
    <t>JACQUART &amp; LOWE TRUST ACCT</t>
  </si>
  <si>
    <t>PATRICK D HOWARD</t>
  </si>
  <si>
    <t>RICHARD  SANDOVAL</t>
  </si>
  <si>
    <t>JORDAN  COPELAND</t>
  </si>
  <si>
    <t>Anne  Brown</t>
  </si>
  <si>
    <t>Clark &amp; DiStefano</t>
  </si>
  <si>
    <t>TRONFELD WEST &amp; DURRETT</t>
  </si>
  <si>
    <t>CATHERINE ABBEY ATTORNEY AT LAW</t>
  </si>
  <si>
    <t>RICHARD T PAFUNDI</t>
  </si>
  <si>
    <t>MICHAEL  GOPIN</t>
  </si>
  <si>
    <t>MARION W CAIN</t>
  </si>
  <si>
    <t>CHOBEE  EBBETTS</t>
  </si>
  <si>
    <t>C ANDERSON  RUSSELL</t>
  </si>
  <si>
    <t>Stanislaw Ashbaugh LLP</t>
  </si>
  <si>
    <t>Miranda &amp; Boyaki</t>
  </si>
  <si>
    <t>Pardue &amp; Associates; P.C.</t>
  </si>
  <si>
    <t>BARBER BANASZYNSKI &amp; ASSOC PSC</t>
  </si>
  <si>
    <t>Law Offices of Cousin &amp; Cousin</t>
  </si>
  <si>
    <t>CARLIE  ANDROUS</t>
  </si>
  <si>
    <t>CRANDALL &amp; KATT;PATRICK  FENNEL</t>
  </si>
  <si>
    <t>JAVITCH; BLOCK &amp; RATHBONE; LLP</t>
  </si>
  <si>
    <t>The Gillaspie Law Firm</t>
  </si>
  <si>
    <t>Peter A. Goldstein; P.C.</t>
  </si>
  <si>
    <t>HARVEY  HARRIS</t>
  </si>
  <si>
    <t>Ryberg &amp; Happe; S.C.</t>
  </si>
  <si>
    <t>Jones; Jones; Vines &amp; Hunkins</t>
  </si>
  <si>
    <t>Heygood; Orr &amp; Pearson</t>
  </si>
  <si>
    <t>LINDSEY W HUNTER</t>
  </si>
  <si>
    <t>The Son Law Firm PSC  The Son Law Firm PSC</t>
  </si>
  <si>
    <t>THE SON LAW FIRM</t>
  </si>
  <si>
    <t>Bryan  Harrison</t>
  </si>
  <si>
    <t>JOHN P MURPHY</t>
  </si>
  <si>
    <t>Evans Edwards; L.L.P.</t>
  </si>
  <si>
    <t>Raymond J Toney</t>
  </si>
  <si>
    <t>ROSS AND  SUCHOFF LLC</t>
  </si>
  <si>
    <t>Goldstein &amp; Handwerker; LLP</t>
  </si>
  <si>
    <t>Deirdre  Fuller</t>
  </si>
  <si>
    <t>Usry; Weeks &amp; Matthews</t>
  </si>
  <si>
    <t>Law Office of Richard J. Karam</t>
  </si>
  <si>
    <t>Alvine &amp; King; LLP</t>
  </si>
  <si>
    <t>Epting &amp; Gillis LLC IOLTA Trust Account</t>
  </si>
  <si>
    <t>JAMES D HOGAN</t>
  </si>
  <si>
    <t>THOMAS J GEHRING</t>
  </si>
  <si>
    <t>JAY  DAVIS</t>
  </si>
  <si>
    <t>BELINDA ELLISON ATTORNEY AT LAW;BELINDA ELLISON IOALTA LAWYERS TR ACCT</t>
  </si>
  <si>
    <t>DAVID P DOHERTY</t>
  </si>
  <si>
    <t>Robert  Meyer</t>
  </si>
  <si>
    <t>TOM  GEHRING</t>
  </si>
  <si>
    <t>Lloyd T Kelso</t>
  </si>
  <si>
    <t>The Carlson Law Firm</t>
  </si>
  <si>
    <t>K ROBERT  DAVIS</t>
  </si>
  <si>
    <t>A John  Witkowski</t>
  </si>
  <si>
    <t>J P MILAM</t>
  </si>
  <si>
    <t>Rassas; North; &amp; Associates</t>
  </si>
  <si>
    <t>Jacobs &amp;  Jacobs;Tom  Jacobs</t>
  </si>
  <si>
    <t>Howard M Kahalas</t>
  </si>
  <si>
    <t>FREDD J HAAS</t>
  </si>
  <si>
    <t>MICHAEL A MAUCHER</t>
  </si>
  <si>
    <t>michael  maucher</t>
  </si>
  <si>
    <t>BAILEY &amp; GALYEN LAW FIRM</t>
  </si>
  <si>
    <t>Tucker; Everitt; Long; Brewton &amp; Lanier</t>
  </si>
  <si>
    <t>Beaver; Holt; Sternlicht; &amp; Courie; P.A.;Garrett Law Firm; P.A.</t>
  </si>
  <si>
    <t>Katzenstein &amp; Lorance</t>
  </si>
  <si>
    <t>Mark G Pitts</t>
  </si>
  <si>
    <t>Fredd J Haas</t>
  </si>
  <si>
    <t>PELLETTIERI RABSTEIN &amp; ALTMAN LAW FIRM</t>
  </si>
  <si>
    <t>Michael J Newman</t>
  </si>
  <si>
    <t>TIMOTHY A DACHILLE</t>
  </si>
  <si>
    <t>RYAN &amp; BROWN; P.A. IOLTA TRUST ACCT</t>
  </si>
  <si>
    <t>ANNE E BROWN</t>
  </si>
  <si>
    <t>OSTEEN &amp; HARRISON</t>
  </si>
  <si>
    <t>Isaac A. Velazquez &amp; Assoc.</t>
  </si>
  <si>
    <t>Sullivan Law Firm</t>
  </si>
  <si>
    <t>Archuleta; Alsaffa &amp; Higginbotham</t>
  </si>
  <si>
    <t>THOMPSON &amp; ASSOCIATES</t>
  </si>
  <si>
    <t>Almanzar &amp; Youngers; P.A.</t>
  </si>
  <si>
    <t>THE LAW OFFICE OF BARRY BACHRACH</t>
  </si>
  <si>
    <t>Holland &amp; Knight</t>
  </si>
  <si>
    <t>JAMES  ZIER</t>
  </si>
  <si>
    <t>Mario E. Perez</t>
  </si>
  <si>
    <t>GEORGE  ANDERSON</t>
  </si>
  <si>
    <t>THOMAS D JONES PC</t>
  </si>
  <si>
    <t>Goodman; Allen; &amp; Filetti</t>
  </si>
  <si>
    <t>Jack F Witcher</t>
  </si>
  <si>
    <t>CRAIG A GENTRY</t>
  </si>
  <si>
    <t>Ryan &amp; Brown PA</t>
  </si>
  <si>
    <t>STANLEY LAW FIRM LLC CLIENT TR ACCT</t>
  </si>
  <si>
    <t>Frank J Coviello</t>
  </si>
  <si>
    <t>Archulet; Alsaffar &amp; Higginbotham</t>
  </si>
  <si>
    <t>Harp &amp; Callier; LLP</t>
  </si>
  <si>
    <t>Swartz &amp; Reed; L.L.P.</t>
  </si>
  <si>
    <t>DANIEL M RODDY</t>
  </si>
  <si>
    <t>Daniel M Roddy</t>
  </si>
  <si>
    <t>DAVID  LINE</t>
  </si>
  <si>
    <t>H. Craig  Stafford</t>
  </si>
  <si>
    <t>MICHAEL A PECK</t>
  </si>
  <si>
    <t>MATTHEW H TULLY</t>
  </si>
  <si>
    <t>STUART ALLAN &amp; ASSOCIATES</t>
  </si>
  <si>
    <t>MARI K TOWNSEND</t>
  </si>
  <si>
    <t>SCHWARTZ &amp; ASSOCIATES</t>
  </si>
  <si>
    <t>JOHN C MANOOG</t>
  </si>
  <si>
    <t>DEATON &amp; DANIEL PA</t>
  </si>
  <si>
    <t>ALEXANDER  BEGUM</t>
  </si>
  <si>
    <t>Department of the Treasury; Internal Revenue Service/S&amp;E</t>
  </si>
  <si>
    <t>DRAPP &amp; JAUMANN LLC-IOLTA ACCT;JOHN C DRAPP III</t>
  </si>
  <si>
    <t>MARKOWITZ  GRAVELLE</t>
  </si>
  <si>
    <t>LeViness; Tolzman &amp; Hamilton; P.A.</t>
  </si>
  <si>
    <t>Darren  O'Quinn;Sean  Doolan</t>
  </si>
  <si>
    <t>PHILLIPS &amp; WEBSTER</t>
  </si>
  <si>
    <t>Norris; St. Clair; &amp; Lotkin</t>
  </si>
  <si>
    <t>STEPHEN A JUSTINO PC</t>
  </si>
  <si>
    <t>Rawls &amp; McNelis</t>
  </si>
  <si>
    <t>LUIS R MELLADO</t>
  </si>
  <si>
    <t>Archuleta Alsaffar &amp;  Higginbotham IOLTA Trust;Michael  Archuleta</t>
  </si>
  <si>
    <t>THOMAS Q KEEFE</t>
  </si>
  <si>
    <t>JAMES H FROST;JAMES H FROST PC</t>
  </si>
  <si>
    <t>RAWLS &amp; MCNELIS LAW FIRM</t>
  </si>
  <si>
    <t>JOSEPH P CALLAHAN OF RAWLS &amp; MCNELIS;RAWLS &amp; MCNELIS PC TR ACCT</t>
  </si>
  <si>
    <t>CARL A SCCOLA;KINNEY SECOLA &amp; GUNNING LLC</t>
  </si>
  <si>
    <t>Alan M Schnitzer</t>
  </si>
  <si>
    <t>John  Oh</t>
  </si>
  <si>
    <t>Elk &amp; Elk</t>
  </si>
  <si>
    <t>Ken R Underwood</t>
  </si>
  <si>
    <t>Diane  Rodriguez</t>
  </si>
  <si>
    <t>LAW OFF OF R JEFF BUSCH;ROBERT J BUSCH</t>
  </si>
  <si>
    <t>Lawrence  Wobbrock</t>
  </si>
  <si>
    <t>LAW OFFICES OF SCOTT KOGEN &amp; ASSOC; PA</t>
  </si>
  <si>
    <t>The Yost Legal Group</t>
  </si>
  <si>
    <t>CLIENT TRUST ACCOUNT;JAIME ALVARADO ATTORNEY AT LAW</t>
  </si>
  <si>
    <t>Rawl &amp; McNelis</t>
  </si>
  <si>
    <t>LICHTENSTEIN FISHWICK &amp; JOHNSON; PLC</t>
  </si>
  <si>
    <t>IOLTA ACCT;LAW OFFICE OF WALTER A OLENIEWSKI</t>
  </si>
  <si>
    <t>Jeremy K McDonald</t>
  </si>
  <si>
    <t>Becker and Mishkind Co.; L.P.A.;JMW Settlement Inc.</t>
  </si>
  <si>
    <t>Law Office of Scott Eaton; P.C.</t>
  </si>
  <si>
    <t>VIVIANNE WHALEN DUFFRIN IOLTA ACCT</t>
  </si>
  <si>
    <t>LINDSEY  GRUTTADAURIO</t>
  </si>
  <si>
    <t>Jeanne Anne  Steffin</t>
  </si>
  <si>
    <t>CHARLES L MERZ;MCSWEENEY SLATER MERZ APC</t>
  </si>
  <si>
    <t>RAWLS &amp; MCNELIS PC</t>
  </si>
  <si>
    <t>Rawls &amp; McNeilis</t>
  </si>
  <si>
    <t>MARK  KRATINA</t>
  </si>
  <si>
    <t>DANIEL L ROBINSON;GRAY; ROBINSON; RYAN &amp; FOX TR</t>
  </si>
  <si>
    <t>Rawls &amp; McNelis; P.C.</t>
  </si>
  <si>
    <t>Law Office of Thomas Yona;Thomas  Tona</t>
  </si>
  <si>
    <t>BAUMAN &amp; KUNKIS PC</t>
  </si>
  <si>
    <t>JMW Settlements; Inc.;Peter  Copeland</t>
  </si>
  <si>
    <t>VINCENT  JESUELE</t>
  </si>
  <si>
    <t>Derrick  Lefler</t>
  </si>
  <si>
    <t>Thomas  Fitzpatrick</t>
  </si>
  <si>
    <t>Stovall and Asssociates; P.C. IOLTA</t>
  </si>
  <si>
    <t>STATE FARM-SUBROGATION</t>
  </si>
  <si>
    <t>MICHAEL  NEWMAN</t>
  </si>
  <si>
    <t>THE LAW OFFICE OF VINCENT DESALVO</t>
  </si>
  <si>
    <t>BELL ROPER KOHLMYER PA;JOSEPH D TESSITORE</t>
  </si>
  <si>
    <t>LAW OFFICES OF RICK FINE</t>
  </si>
  <si>
    <t>Joseph  Callahan</t>
  </si>
  <si>
    <t>LEE &amp; KAUFMAN LLP;MATTHEW A SLATER</t>
  </si>
  <si>
    <t>JEREMY A WINTON WINTON LAW GROUP</t>
  </si>
  <si>
    <t>ELAINE RYZAK  FRASER;LAW OFFICES OF HARRIS &amp; FRASER</t>
  </si>
  <si>
    <t>STOLL NUSSBAUM &amp; POLAKOV APC</t>
  </si>
  <si>
    <t>Wallace and Graham; PA</t>
  </si>
  <si>
    <t>DARRELL S ELLIOTT</t>
  </si>
  <si>
    <t>LAW OFFICES OF RICK FINE ESQ</t>
  </si>
  <si>
    <t>MENDY M KATZMAN;WAGERMAN  LAW FIRM TR ACCT</t>
  </si>
  <si>
    <t>EDWARD D FANUCCHI;QUINLAN KERSHAW &amp; FANUCCHI ATTORNEY;TRUST ACCT</t>
  </si>
  <si>
    <t>CALIFORNIA;GENE  TUCKER;MICHAEL COGAN TRUSTEE STATE BAR OF</t>
  </si>
  <si>
    <t>Jeffrey T Lauridsen</t>
  </si>
  <si>
    <t>WAGERMAN LAW FIRM TRUST ACCOUNT</t>
  </si>
  <si>
    <t>Robert G Hicks</t>
  </si>
  <si>
    <t>Victoria  Dye</t>
  </si>
  <si>
    <t>GATTI KELTNER BIENVENU &amp; MONTESI PLC;MARVIN A BIENVENU</t>
  </si>
  <si>
    <t>CARL J GUAGLIARDO;SELINGO  GUAGLIARDO</t>
  </si>
  <si>
    <t>PETRIE &amp; STOCKING SC IOLTA;THOMAS G HALLORAN</t>
  </si>
  <si>
    <t>SHELDON J MILLER</t>
  </si>
  <si>
    <t>LAW OFFICE OF ROBERT C WILLIAMS;LAW OFFICE OF ROBERT C WILSON;ROBERT C WILSON GENERAL TRUST ACCT;TAMMI N JACKSON</t>
  </si>
  <si>
    <t>SC TRUST ACCOUNT;VICTOR  HARDING;WARSHAFSKY ROTTER TARNOFF &amp; BLOCH</t>
  </si>
  <si>
    <t>TRUST ACCOUNT;VICTOR  HARDING;WARSHAFSKY ROTTER TARNOFF &amp; BLOCH SC</t>
  </si>
  <si>
    <t>TRUST ACCOUNT;VICTOR  HARDING;WARSHAFSKY ROTTER TARNOFF &amp; BLOCK SC</t>
  </si>
  <si>
    <t>DAVID M DEUTSCH CO LPA</t>
  </si>
  <si>
    <t>SUSSMAN; SELIG &amp; ROSS CLIENT FUNDS ACCT</t>
  </si>
  <si>
    <t>ABIGAIL WILLIAMS &amp; ASSO PC IOLTA;ROSS  ANNENBERG</t>
  </si>
  <si>
    <t>KANSAS BAR FOUNDATION</t>
  </si>
  <si>
    <t>Terry  Hyatt</t>
  </si>
  <si>
    <t>LARRY N SOKOL ATTORNEY AT LAW CLIENT;TRUST ACCOUNT</t>
  </si>
  <si>
    <t>BOUNDS GONZALEZ P L IOLTA ACCT;J CLANCEY  BOUNDS</t>
  </si>
  <si>
    <t>JOHN O HARALDSON TR ACCT</t>
  </si>
  <si>
    <t>Laurie  Higginbotham</t>
  </si>
  <si>
    <t>Sean  Burke</t>
  </si>
  <si>
    <t>Steven  Seligman</t>
  </si>
  <si>
    <t>IOLTA GROSS &amp; LEVIN; LLP</t>
  </si>
  <si>
    <t>WARSHAFSKY ROTTER TARNOFF &amp; BLOCH; SC</t>
  </si>
  <si>
    <t>SOLOMON &amp; SOLOMON</t>
  </si>
  <si>
    <t>George  Cire</t>
  </si>
  <si>
    <t>MINDY S BISH</t>
  </si>
  <si>
    <t>Stephen G Sanders</t>
  </si>
  <si>
    <t>TR ACCT LAW OFCS OF DAVID J ST LOUIS INC</t>
  </si>
  <si>
    <t>GEORGE  SINK PA</t>
  </si>
  <si>
    <t>LAW OFFICES OF BARRY G DOYLE PC</t>
  </si>
  <si>
    <t>SHAWN A WARNER;WARNER LAW OFFICE (CLIENT TRUST)</t>
  </si>
  <si>
    <t>Orendain &amp; Dominguez; Law Firm</t>
  </si>
  <si>
    <t>David  Raimondo</t>
  </si>
  <si>
    <t>FRANK  FLY</t>
  </si>
  <si>
    <t>JAMES R WILLIAMS;JIM  WILLIAMS</t>
  </si>
  <si>
    <t>Douglas  Schaller;Johnson Clifton  Larson &amp; Schaller</t>
  </si>
  <si>
    <t>CATANIA &amp; CATANIA TRUST ACCT;PAUL S REED</t>
  </si>
  <si>
    <t>LAW OFFICES OF STUART H. GOLDENBERG</t>
  </si>
  <si>
    <t>Daniel  Tanenbaum</t>
  </si>
  <si>
    <t>IOLTA ACCT;LAURIE M HIGGINBOTHAM;MICHAEL ARCHULETTA ATTORNEY AT LAW</t>
  </si>
  <si>
    <t>THE RAWLINGS COMPANY LLC</t>
  </si>
  <si>
    <t>Alicia M Wilson</t>
  </si>
  <si>
    <t>Carlos E Hernandez</t>
  </si>
  <si>
    <t>Van Dorn &amp; Curtiss; PLLC</t>
  </si>
  <si>
    <t>Charles  Kugler</t>
  </si>
  <si>
    <t>Philip J Hall</t>
  </si>
  <si>
    <t>Clark H Davis</t>
  </si>
  <si>
    <t>LAW OFFICE OF LARRY A ZIER</t>
  </si>
  <si>
    <t>THE CARLSON LAW FIRM</t>
  </si>
  <si>
    <t>KERSHAW CUTTER &amp; RATINOFF LLP  CLIENT;TRUST ACCOUNT</t>
  </si>
  <si>
    <t>GEORGE H JONES</t>
  </si>
  <si>
    <t>LAW OFFICES OF RONALD SCALETTA</t>
  </si>
  <si>
    <t>Daryl  Christopher</t>
  </si>
  <si>
    <t>S.A.  Randle</t>
  </si>
  <si>
    <t>Luke  Everett</t>
  </si>
  <si>
    <t>Michael A Buckwalter</t>
  </si>
  <si>
    <t>DONALD A BICK</t>
  </si>
  <si>
    <t>BARD &amp; ASSOCIATES LEGAL TRUST</t>
  </si>
  <si>
    <t>MINTZ LAW FIRM LLC COLFAF TR ACCT</t>
  </si>
  <si>
    <t>RALSTON POPE &amp; DIEHL LLC TR ACCT</t>
  </si>
  <si>
    <t>S.A. Randle &amp;  Associate PC</t>
  </si>
  <si>
    <t>PAGEL WEIKUM PLCC IOLTA</t>
  </si>
  <si>
    <t>DONALD F MANCHEL</t>
  </si>
  <si>
    <t>GOTTSCHLICH &amp; PORTUNE LLP IOLTA ACCT</t>
  </si>
  <si>
    <t>HARRY T WIDMANN</t>
  </si>
  <si>
    <t>LORENZO  WILLIAMS</t>
  </si>
  <si>
    <t>Frantz  Vital</t>
  </si>
  <si>
    <t>Mark  Williamson</t>
  </si>
  <si>
    <t>Cameron  Marshall</t>
  </si>
  <si>
    <t>Alan E Silver</t>
  </si>
  <si>
    <t>Benson Pantello Morri James &amp; Logan</t>
  </si>
  <si>
    <t>LAW OFFICES OF MORSE &amp; ASSOC.; PC</t>
  </si>
  <si>
    <t>Bill  Walker;Mark  Hassakis</t>
  </si>
  <si>
    <t>Wham &amp; Wham</t>
  </si>
  <si>
    <t>Katherine  Hall</t>
  </si>
  <si>
    <t>Ernest G Cole</t>
  </si>
  <si>
    <t>BERTRAND  RUSSELL</t>
  </si>
  <si>
    <t>Olson &amp; Hogan</t>
  </si>
  <si>
    <t>JOSEPH P CALLAHAN</t>
  </si>
  <si>
    <t>DANIEL J PAUL</t>
  </si>
  <si>
    <t>Jeffrey  Campbell</t>
  </si>
  <si>
    <t>Scott R McMillen</t>
  </si>
  <si>
    <t>Darrell  Sammons</t>
  </si>
  <si>
    <t>MICHAEL  ARCHULETA</t>
  </si>
  <si>
    <t>PETER  LEE</t>
  </si>
  <si>
    <t>Michael  Kedzie</t>
  </si>
  <si>
    <t>GARY J. TAKACS; P.A.</t>
  </si>
  <si>
    <t>Benjamin  Butts</t>
  </si>
  <si>
    <t>JONATHAN S RESNICK</t>
  </si>
  <si>
    <t>Douglas  Rosinski</t>
  </si>
  <si>
    <t>SCHWARTZAPFEL TRUHOWSKY MARCUS; P.C.</t>
  </si>
  <si>
    <t>JAMES F MALONE</t>
  </si>
  <si>
    <t>THOMAS J MASSEY</t>
  </si>
  <si>
    <t>DAVID E HIGH TTEE IOLTA</t>
  </si>
  <si>
    <t>PATCHETT LAW OFFICE</t>
  </si>
  <si>
    <t>David  Cory</t>
  </si>
  <si>
    <t>Jeffrey  Bloom</t>
  </si>
  <si>
    <t>LAW OFFICES OF STEVEN DUDITCH</t>
  </si>
  <si>
    <t>THE "O" FIRM</t>
  </si>
  <si>
    <t>BUCKFIRE &amp; BUCKFIRE PC</t>
  </si>
  <si>
    <t>RABNER LAW OFFICES PC</t>
  </si>
  <si>
    <t>LAW OFCS OF SCOTT A CANNON IOLTA ACCT;TONY  GLORIOSO</t>
  </si>
  <si>
    <t>Gary  Arsenault</t>
  </si>
  <si>
    <t>COOPER &amp; NELSON; LLP</t>
  </si>
  <si>
    <t>WILSON KEHOE &amp; WININGHAM; LLC; IOLTA</t>
  </si>
  <si>
    <t>Will  Bond</t>
  </si>
  <si>
    <t>TOM  MARION</t>
  </si>
  <si>
    <t>WILSON KEHOE &amp; WININGHAM LLC IOLTA</t>
  </si>
  <si>
    <t>Kyle  Madison</t>
  </si>
  <si>
    <t>KENNY &amp; KENNY PLLC</t>
  </si>
  <si>
    <t>George  Joyner; PC</t>
  </si>
  <si>
    <t>FULLER &amp; FULLER ATTORNEYS AT LAW TR ACCT</t>
  </si>
  <si>
    <t>RAWLS &amp; MCNELIS PC TRUST ACT</t>
  </si>
  <si>
    <t>Michael  Archuleta</t>
  </si>
  <si>
    <t>Kenneth J Kieklak</t>
  </si>
  <si>
    <t>POHLER &amp;  ASSOCIATES LLC</t>
  </si>
  <si>
    <t>PERENICH CAULFIELD AVRIL &amp; NOYES</t>
  </si>
  <si>
    <t>Martin  Rodriguez</t>
  </si>
  <si>
    <t>Nicholas  Allis</t>
  </si>
  <si>
    <t>JMichael  McGarity</t>
  </si>
  <si>
    <t>TODD  PHARES</t>
  </si>
  <si>
    <t>JENNIFER V SCHIFFMACHER</t>
  </si>
  <si>
    <t>LAW OFFICE OF STEVEN DUDITCH</t>
  </si>
  <si>
    <t>Kim D Staskus</t>
  </si>
  <si>
    <t>JOHN  HOLSCHUH</t>
  </si>
  <si>
    <t>MARK  SOLOMON</t>
  </si>
  <si>
    <t>JAMES E HACKER</t>
  </si>
  <si>
    <t>BRAULT PALMER GROVE STEINHILBER ETC</t>
  </si>
  <si>
    <t>ROBERT A CARDALI &amp; ASSOCIATES LLP</t>
  </si>
  <si>
    <t>MORSE &amp; ASSOCIATES PC</t>
  </si>
  <si>
    <t>RIVERA &amp; FERNANDEZ REBOREDO; PSC</t>
  </si>
  <si>
    <t>SAMUEL L CAPPAS</t>
  </si>
  <si>
    <t>GRAY PLANT MOOTY LAWYER'S TR ACCT;JENNIFER R COATES</t>
  </si>
  <si>
    <t>SUZANNE  POSNER</t>
  </si>
  <si>
    <t>CRAIG L HOLCOMB LLC;HOLCOMB &amp; STRAILE LLC ESCROW ACCT</t>
  </si>
  <si>
    <t>Amideo Nicholas Guzzone Assoc; P.C. IOLA</t>
  </si>
  <si>
    <t>Law Offices of Samer Habbas</t>
  </si>
  <si>
    <t>Wagerman Law Firm</t>
  </si>
  <si>
    <t>Aminpour &amp; Associates</t>
  </si>
  <si>
    <t>Rutter Mills; LLP</t>
  </si>
  <si>
    <t>Law Offices of Gary D. Nunn</t>
  </si>
  <si>
    <t>Ekwem &amp; Associates Law Firm</t>
  </si>
  <si>
    <t>Spencer S Busby</t>
  </si>
  <si>
    <t>ROBERT A CARDALI &amp; ASSO LLP</t>
  </si>
  <si>
    <t>MARK  ZAID</t>
  </si>
  <si>
    <t>Armando A Perez; Esquire</t>
  </si>
  <si>
    <t>Anthony L Gallia; Esquire</t>
  </si>
  <si>
    <t>Boggs; Avellino; Lac  &amp; Boggs; LLC</t>
  </si>
  <si>
    <t>Maury B Watts; III; Esquire</t>
  </si>
  <si>
    <t>Peknic; Peknic &amp; Schaefer; LLC</t>
  </si>
  <si>
    <t>Negroni  Law Group</t>
  </si>
  <si>
    <t>Griffin &amp; Givens; LLP</t>
  </si>
  <si>
    <t>Skolnick &amp; Rosenthal</t>
  </si>
  <si>
    <t>Russ E Robbins</t>
  </si>
  <si>
    <t>Brian D Guralnick; P.A.</t>
  </si>
  <si>
    <t>Goodman  Meagher &amp; Enoch; LLC</t>
  </si>
  <si>
    <t>Stephen E Garner; P.C.</t>
  </si>
  <si>
    <t>ROLAND  BARBOSA;RUBEN  BARBOSA</t>
  </si>
  <si>
    <t>KUJAWSKI &amp; DELLICARPINI AS ATTORNEYS;KUJAWSKI &amp; DELLICARPINI ESQ</t>
  </si>
  <si>
    <t>Vance &amp; Lotane</t>
  </si>
  <si>
    <t>Michael T Martin</t>
  </si>
  <si>
    <t>Barbara  Scarlata</t>
  </si>
  <si>
    <t>COHEN &amp; COHEN PC</t>
  </si>
  <si>
    <t>Farm Service Agency</t>
  </si>
  <si>
    <t>IVAN  LAM;VICTOR  KORECHEFF</t>
  </si>
  <si>
    <t>JASON M JABAR</t>
  </si>
  <si>
    <t>EDWARD N MORRIS</t>
  </si>
  <si>
    <t>DOUGLAS KNIGHT &amp; ASSOCIATES</t>
  </si>
  <si>
    <t>ABEL LAW FIRM</t>
  </si>
  <si>
    <t>RUBY PEREZ ATTY AT LAW</t>
  </si>
  <si>
    <t>SILBERT &amp; GARON LLP</t>
  </si>
  <si>
    <t>ATTORNEY TRUST ACCOUNT ALLSTATE</t>
  </si>
  <si>
    <t>CRAIG A ALTMAN PC</t>
  </si>
  <si>
    <t>Barry L Lisbowitz;Joel  Skirble &amp; Associate PI IOLTA</t>
  </si>
  <si>
    <t>BRYANT  JACKSON</t>
  </si>
  <si>
    <t>ERIC E CHILD</t>
  </si>
  <si>
    <t>MELISSA J REEVES</t>
  </si>
  <si>
    <t>MELISSA J REEVES ATTORNEY TR ACCT</t>
  </si>
  <si>
    <t>CARMAN CALLAHAN  &amp; INGHAM LLP</t>
  </si>
  <si>
    <t>ANTHONY  ZARELLA</t>
  </si>
  <si>
    <t>LAWRENCE A THROWER</t>
  </si>
  <si>
    <t>Stephen D Foster</t>
  </si>
  <si>
    <t>TIMOTHY A MCDONOUGH</t>
  </si>
  <si>
    <t>LAW OFFICES OF JEFFREY THOMAS BELL</t>
  </si>
  <si>
    <t>ESCROW ACCT;SIEGEL &amp; DOYLE ATTORNEYS AT LAW;THOMAS E DOYLE</t>
  </si>
  <si>
    <t>STEPHEN  GRAYSON;STEPHEN P GRAYSON APC ATTORNEY</t>
  </si>
  <si>
    <t>CLIENT TRUST ACCOUNT;STEPHEN  GRAYSON;STEPHEN P GRAYSON APC ATTORNEY</t>
  </si>
  <si>
    <t>STEPHEN  GRAYSON;STEPHEN P GRAYSON APC ATTORNEY CLIENT;TRUST ACCOUNT</t>
  </si>
  <si>
    <t>Ed  Kravitz</t>
  </si>
  <si>
    <t>THOMAS GEORGE ASSOCIATES LTC</t>
  </si>
  <si>
    <t>R BRUCE  FICKLEY PC</t>
  </si>
  <si>
    <t>ERNEST A VARGAS LAW CORPORATION;ROBERT  VARGAS</t>
  </si>
  <si>
    <t>GREGG R WEISS</t>
  </si>
  <si>
    <t>KAUFMAN STIGGER &amp; HUGHES PLLC;MARSHALL F KAUFMANN</t>
  </si>
  <si>
    <t>TOUCHY &amp; GREEN LLP IOLTA</t>
  </si>
  <si>
    <t>GAMMON &amp; GRANGE; P.C.</t>
  </si>
  <si>
    <t>ALFRED K MYERS</t>
  </si>
  <si>
    <t>ANDRES G SIMPSON TR ACCT</t>
  </si>
  <si>
    <t>STOUWIET MAYO PLLC</t>
  </si>
  <si>
    <t>BARNEY  NAIOTI</t>
  </si>
  <si>
    <t>HENRY TRAN ATTORNEY AT LAW</t>
  </si>
  <si>
    <t>FREDERICK I HALL</t>
  </si>
  <si>
    <t>TN BAR FOUNDATION IOLTA;WILLIAM B SLOAN</t>
  </si>
  <si>
    <t>ABDULLAH SALIM</t>
  </si>
  <si>
    <t>MICHELE  GAUDIN</t>
  </si>
  <si>
    <t>DAVID R THOMPSON</t>
  </si>
  <si>
    <t>SIMON  FINLOW</t>
  </si>
  <si>
    <t>JOHN P HARRIS</t>
  </si>
  <si>
    <t>Tofer and Associates</t>
  </si>
  <si>
    <t>LUVELLE L GLANTON</t>
  </si>
  <si>
    <t>Gatti Keltner Bienvenu &amp; Montesi PLC</t>
  </si>
  <si>
    <t>MICHAEL  PHAM</t>
  </si>
  <si>
    <t>ISAACMAN FAMILY DENTISTRY</t>
  </si>
  <si>
    <t>MORSE &amp; ASSOCIATES; P.C.</t>
  </si>
  <si>
    <t>LONG DELAPOER HEALY MCCANN &amp; NOONAN PC</t>
  </si>
  <si>
    <t>Federal Emergency Management Administration at DHS</t>
  </si>
  <si>
    <t>ADRIANNE  GUEST</t>
  </si>
  <si>
    <t>MARY ELLEN DAVIS LAWYER IOTA TR ACCT</t>
  </si>
  <si>
    <t>LONG  NGUYEN</t>
  </si>
  <si>
    <t>FLETC at Homeland Security</t>
  </si>
  <si>
    <t>RAMON I GARCIA</t>
  </si>
  <si>
    <t>WALLACE E HARRELL</t>
  </si>
  <si>
    <t>FMS - CASH</t>
  </si>
  <si>
    <t>GRETCHEN  PAULIG</t>
  </si>
  <si>
    <t>W F SCOTT FENDLEY VICE PRESIDENT</t>
  </si>
  <si>
    <t>MICHAEL K KIM;R  MAZEAU</t>
  </si>
  <si>
    <t>JONATHAN H HUERTA</t>
  </si>
  <si>
    <t>LAW OFFICES OF STAWICKI &amp; MAPLES</t>
  </si>
  <si>
    <t>Griffin &amp; Givens</t>
  </si>
  <si>
    <t>Lerner Law Firm</t>
  </si>
  <si>
    <t>Stephen D Foster Esq LLC</t>
  </si>
  <si>
    <t>C&amp;S Logistics Inc/Craig A Dennis Esq</t>
  </si>
  <si>
    <t>Eaves Law Firm</t>
  </si>
  <si>
    <t>Ditchey Geiger LLC</t>
  </si>
  <si>
    <t>Law Offices of Brian J Ferber Inc</t>
  </si>
  <si>
    <t>Law Offices of Levin &amp; Levin</t>
  </si>
  <si>
    <t>Geological Survey</t>
  </si>
  <si>
    <t>CURRIER AND  TRASK PA</t>
  </si>
  <si>
    <t>KARL H GOODMAN</t>
  </si>
  <si>
    <t>Darlene M Jacobs</t>
  </si>
  <si>
    <t>Thomas E Quirk</t>
  </si>
  <si>
    <t>Linda  Christe</t>
  </si>
  <si>
    <t>MATTHEW E WULKOPF</t>
  </si>
  <si>
    <t>Abourezk Law  Firm Trust Account;Robin  Zephier</t>
  </si>
  <si>
    <t>BARUDIN LAW FIRM PC</t>
  </si>
  <si>
    <t>LAW OFFICES OF STEVEN L WEINER</t>
  </si>
  <si>
    <t>Michael J Best</t>
  </si>
  <si>
    <t>LARRY H PARKER</t>
  </si>
  <si>
    <t>A J  HOHMAN</t>
  </si>
  <si>
    <t>A  KOSS;A KOSS TRUST ACCT</t>
  </si>
  <si>
    <t>KAY  EDGCOMB</t>
  </si>
  <si>
    <t>Minh  Nguyen-Duy</t>
  </si>
  <si>
    <t>JAMES  PALIWODA</t>
  </si>
  <si>
    <t>JULIE  POAGE;MARK D SCOTT</t>
  </si>
  <si>
    <t>FRANK T STANLEY</t>
  </si>
  <si>
    <t>JFK - Center for the Performing Arts</t>
  </si>
  <si>
    <t>GORDON  LEVENSON</t>
  </si>
  <si>
    <t>GORDON M LEVENSON</t>
  </si>
  <si>
    <t>LEONARD  GROSSMAN</t>
  </si>
  <si>
    <t>CLARKE &amp; ASSOCIATES PLLC</t>
  </si>
  <si>
    <t>Dunn Nutter  Morgan LLP</t>
  </si>
  <si>
    <t>DECKER; CARDON; THOMAS; WEINTRAUB;MARTIN A THOMAS;NESKIS PC</t>
  </si>
  <si>
    <t>KILLIAN &amp; BOYD PC IOLTA ACCT</t>
  </si>
  <si>
    <t>Aubuchon Raniere  Panzeri</t>
  </si>
  <si>
    <t>O'KEEFE &amp; GALE CLIENTS FUNDS ACCT</t>
  </si>
  <si>
    <t>FIRES &amp; NEWBY LLP;WEBER GALLAGNER SIMPSON STAPLETON</t>
  </si>
  <si>
    <t>GOSTOMSKI &amp; HECKER PC;GOSTOMSKI &amp; HECKER PC IOLTA</t>
  </si>
  <si>
    <t>Tony  Richa</t>
  </si>
  <si>
    <t>Sawyer  Marglous</t>
  </si>
  <si>
    <t>Michael L Stevens</t>
  </si>
  <si>
    <t>REUBEN  ESSANDOH</t>
  </si>
  <si>
    <t>Chaplin  Gonet</t>
  </si>
  <si>
    <t>CARL S PARSONS</t>
  </si>
  <si>
    <t>National Archives and Records Administration</t>
  </si>
  <si>
    <t>Natl Credit Union Administration</t>
  </si>
  <si>
    <t>CHARLES  SICKELS</t>
  </si>
  <si>
    <t>Natl Inst of Stds</t>
  </si>
  <si>
    <t>WILLIAM R SCHMIDT</t>
  </si>
  <si>
    <t>Natl Oceanic &amp; Atmos</t>
  </si>
  <si>
    <t>JUDY L FEINBERG</t>
  </si>
  <si>
    <t>STATE FARM ACCT;TROY R LOTANE;VANCE; LOTANE &amp; BOOKHARDT PA</t>
  </si>
  <si>
    <t>ERIC  HUMMEL</t>
  </si>
  <si>
    <t>William M Cusimano</t>
  </si>
  <si>
    <t>TIMOTHY D BROWN</t>
  </si>
  <si>
    <t>RAWLIN GRAVENS CO LPA</t>
  </si>
  <si>
    <t>CHARLES  COUNSELL</t>
  </si>
  <si>
    <t>JONATHAN  KOPIN</t>
  </si>
  <si>
    <t>WOODS &amp; THOMPSON</t>
  </si>
  <si>
    <t>BUSH LAW FIRM PLLC (IOLTA ACCOUNT)</t>
  </si>
  <si>
    <t>Office of Inspector General</t>
  </si>
  <si>
    <t>Marc S Bragg</t>
  </si>
  <si>
    <t>W B MUNROE</t>
  </si>
  <si>
    <t>PRAXIS CONSULTING INC</t>
  </si>
  <si>
    <t>Greenberg &amp; Bederman; LLP</t>
  </si>
  <si>
    <t>Mark L. Karno; Esq</t>
  </si>
  <si>
    <t>Doroshow; Pasquale; Krawitz &amp; Bhaya</t>
  </si>
  <si>
    <t>Greenberg &amp; Bederman</t>
  </si>
  <si>
    <t>Allen David Werter; PLLC</t>
  </si>
  <si>
    <t>David S. Kohm</t>
  </si>
  <si>
    <t>Rex J. Ridenour; Attorney</t>
  </si>
  <si>
    <t>Hector E. Andreu; Esq</t>
  </si>
  <si>
    <t>KEVIN MCNEIL ATTORNEY FOR ERVIN DREW</t>
  </si>
  <si>
    <t>REGAN  ZAMBRI</t>
  </si>
  <si>
    <t>KERR  KARR</t>
  </si>
  <si>
    <t>JOHN  BELL WHITESELL</t>
  </si>
  <si>
    <t>DANIEL R FREDLAND</t>
  </si>
  <si>
    <t>ALAN STUART GRAF PC</t>
  </si>
  <si>
    <t>Brian  Brandt</t>
  </si>
  <si>
    <t>STEPHEN T COLLINS</t>
  </si>
  <si>
    <t>The Judiciary</t>
  </si>
  <si>
    <t>Treasury IG for Tax Admin</t>
  </si>
  <si>
    <t>HASTINGS &amp; HASTINGS; P.C.</t>
  </si>
  <si>
    <t>JOHN P VALENTE III</t>
  </si>
  <si>
    <t>TODD  POWERS</t>
  </si>
  <si>
    <t>GARY O BRUCE PC</t>
  </si>
  <si>
    <t>San Diego  Law Center</t>
  </si>
  <si>
    <t>MARK  RUFO</t>
  </si>
  <si>
    <t>JANET  NOBLES</t>
  </si>
  <si>
    <t>LEO  ARNOLD</t>
  </si>
  <si>
    <t>HIDAY  RICKE</t>
  </si>
  <si>
    <t>Western Area Power</t>
  </si>
  <si>
    <t>MICHAEL S MORSE</t>
  </si>
  <si>
    <t>[REDACTED FOR PRIVACY]</t>
  </si>
  <si>
    <t>Please note: In rare instances, the payment amount associated with a unique payment ID number may not equal the sum of the associated principal, attorney fees, cost and interest amount(s) because (1) the payment was made in a  foreign currency and therefore was subject to fluctuations in currency exchange rates, or (2) the payment was offset by the Treasury Offset Program due to an outstanding debt owed to the federal government. In addition, in the event that multiple responsible agencies contributed to making a single payment, the full payment amount is displayed for each responsible agency. For an accurate total of all Judgment Fund payments made during fiscal year 2010, please refer to the Department of the Treasury, Agency Financial Report for Fiscal Year 2010. Finally, data reported here may not exactly match raw data available on the Judgment Fund website due to certain system anomalies related to returned payments.</t>
  </si>
  <si>
    <t>SubmittingAgencyName</t>
  </si>
  <si>
    <t>Def Contract Command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</si>
</sst>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
    <xf numFmtId="0" fontId="0" fillId="0" borderId="0" xfId="0"/>
    <xf numFmtId="0" fontId="16" fillId="0" borderId="0" xfId="0" applyFont="1"/>
    <xf numFmtId="0" fontId="16" fillId="0" borderId="11" xfId="0" applyFont="1" applyBorder="1"/>
    <xf numFmtId="0" fontId="0" fillId="0" borderId="0" xfId="0" applyFont="1"/>
    <xf numFmtId="0" fontId="0" fillId="0" borderId="14" xfId="0" applyFont="1" applyBorder="1"/>
    <xf numFmtId="164" fontId="16" fillId="0" borderId="0" xfId="0" applyNumberFormat="1" applyFont="1"/>
    <xf numFmtId="0" fontId="16" fillId="0" borderId="10" xfId="0" applyFont="1" applyBorder="1"/>
    <xf numFmtId="164" fontId="16" fillId="0" borderId="11" xfId="0" applyNumberFormat="1" applyFont="1" applyBorder="1"/>
    <xf numFmtId="0" fontId="16" fillId="0" borderId="12" xfId="0" applyFont="1" applyBorder="1"/>
    <xf numFmtId="0" fontId="0" fillId="0" borderId="13" xfId="0" applyFont="1" applyBorder="1"/>
    <xf numFmtId="14" fontId="0" fillId="0" borderId="14" xfId="0" applyNumberFormat="1" applyFont="1" applyBorder="1"/>
    <xf numFmtId="164" fontId="0" fillId="0" borderId="14" xfId="0" applyNumberFormat="1" applyFont="1" applyBorder="1"/>
    <xf numFmtId="0" fontId="0" fillId="0" borderId="15" xfId="0" applyFont="1" applyBorder="1"/>
    <xf numFmtId="0" fontId="0" fillId="0" borderId="16" xfId="0" applyFont="1" applyBorder="1"/>
    <xf numFmtId="0" fontId="0" fillId="0" borderId="17" xfId="0" applyFont="1" applyBorder="1"/>
    <xf numFmtId="14" fontId="0" fillId="0" borderId="17" xfId="0" applyNumberFormat="1" applyFont="1" applyBorder="1"/>
    <xf numFmtId="164" fontId="0" fillId="0" borderId="17" xfId="0" applyNumberFormat="1" applyFont="1" applyBorder="1"/>
    <xf numFmtId="0" fontId="0" fillId="0" borderId="18" xfId="0" applyFont="1" applyBorder="1"/>
    <xf numFmtId="164" fontId="0" fillId="0" borderId="0" xfId="0" applyNumberFormat="1" applyFont="1"/>
    <xf numFmtId="0" fontId="0" fillId="0" borderId="0" xfId="0" applyFont="1" applyBorder="1"/>
    <xf numFmtId="0" fontId="0" fillId="0" borderId="0" xfId="0" applyFont="1"/>
    <xf numFmtId="0" fontId="18" fillId="0" borderId="0" xfId="0" applyFont="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58"/>
  <sheetViews>
    <sheetView tabSelected="1" workbookViewId="0">
      <pane ySplit="5" topLeftCell="A6" activePane="bottomLeft" state="frozen"/>
      <selection pane="bottomLeft" activeCell="A6" sqref="A6"/>
    </sheetView>
  </sheetViews>
  <sheetFormatPr defaultColWidth="9.140625" defaultRowHeight="15" x14ac:dyDescent="0.25"/>
  <cols>
    <col min="1" max="1" width="40.7109375" style="3" customWidth="1"/>
    <col min="2" max="2" width="40.7109375" style="20" customWidth="1"/>
    <col min="3" max="3" width="10" style="3" bestFit="1" customWidth="1"/>
    <col min="4" max="4" width="24.7109375" style="3" customWidth="1"/>
    <col min="5" max="5" width="13.140625" style="3" bestFit="1" customWidth="1"/>
    <col min="6" max="6" width="18.7109375" style="3" bestFit="1" customWidth="1"/>
    <col min="7" max="7" width="27.140625" style="18" bestFit="1" customWidth="1"/>
    <col min="8" max="8" width="16.85546875" style="18" bestFit="1" customWidth="1"/>
    <col min="9" max="9" width="24.85546875" style="3" bestFit="1" customWidth="1"/>
    <col min="10" max="10" width="57.7109375" style="3" bestFit="1" customWidth="1"/>
    <col min="11" max="11" width="21.42578125" style="18" bestFit="1" customWidth="1"/>
    <col min="12" max="12" width="26.85546875" style="3" bestFit="1" customWidth="1"/>
    <col min="13" max="13" width="57.7109375" style="3" bestFit="1" customWidth="1"/>
    <col min="14" max="14" width="12.42578125" style="18" bestFit="1" customWidth="1"/>
    <col min="15" max="15" width="24.85546875" style="3" bestFit="1" customWidth="1"/>
    <col min="16" max="16" width="47.85546875" style="3" bestFit="1" customWidth="1"/>
    <col min="17" max="17" width="15.42578125" style="18" bestFit="1" customWidth="1"/>
    <col min="18" max="18" width="26.140625" style="3" bestFit="1" customWidth="1"/>
    <col min="19" max="19" width="40.7109375" style="3" bestFit="1" customWidth="1"/>
    <col min="20" max="16384" width="9.140625" style="3"/>
  </cols>
  <sheetData>
    <row r="1" spans="1:19" s="1" customFormat="1" x14ac:dyDescent="0.25">
      <c r="A1" s="1" t="s">
        <v>0</v>
      </c>
      <c r="G1" s="5"/>
      <c r="H1" s="5"/>
      <c r="K1" s="5"/>
      <c r="N1" s="5"/>
      <c r="Q1" s="5"/>
    </row>
    <row r="2" spans="1:19" s="1" customFormat="1" x14ac:dyDescent="0.25">
      <c r="A2" s="1" t="s">
        <v>1</v>
      </c>
      <c r="G2" s="5"/>
      <c r="H2" s="5"/>
      <c r="K2" s="5"/>
      <c r="N2" s="5"/>
      <c r="Q2" s="5"/>
    </row>
    <row r="3" spans="1:19" s="1" customFormat="1" x14ac:dyDescent="0.25">
      <c r="G3" s="5"/>
      <c r="H3" s="5"/>
      <c r="K3" s="5"/>
      <c r="N3" s="5"/>
      <c r="Q3" s="5"/>
    </row>
    <row r="4" spans="1:19" s="1" customFormat="1" x14ac:dyDescent="0.25">
      <c r="A4" s="1" t="s">
        <v>2</v>
      </c>
      <c r="G4" s="5"/>
      <c r="H4" s="5"/>
      <c r="K4" s="5"/>
      <c r="N4" s="5"/>
      <c r="Q4" s="5"/>
    </row>
    <row r="5" spans="1:19" s="1" customFormat="1" x14ac:dyDescent="0.25">
      <c r="A5" s="6" t="s">
        <v>3</v>
      </c>
      <c r="B5" s="6" t="s">
        <v>2536</v>
      </c>
      <c r="C5" s="2" t="s">
        <v>4</v>
      </c>
      <c r="D5" s="2" t="s">
        <v>5</v>
      </c>
      <c r="E5" s="2" t="s">
        <v>6</v>
      </c>
      <c r="F5" s="2" t="s">
        <v>7</v>
      </c>
      <c r="G5" s="7" t="s">
        <v>8</v>
      </c>
      <c r="H5" s="7" t="s">
        <v>9</v>
      </c>
      <c r="I5" s="2" t="s">
        <v>10</v>
      </c>
      <c r="J5" s="2" t="s">
        <v>11</v>
      </c>
      <c r="K5" s="7" t="s">
        <v>12</v>
      </c>
      <c r="L5" s="2" t="s">
        <v>13</v>
      </c>
      <c r="M5" s="2" t="s">
        <v>14</v>
      </c>
      <c r="N5" s="7" t="s">
        <v>15</v>
      </c>
      <c r="O5" s="2" t="s">
        <v>16</v>
      </c>
      <c r="P5" s="2" t="s">
        <v>17</v>
      </c>
      <c r="Q5" s="7" t="s">
        <v>18</v>
      </c>
      <c r="R5" s="2" t="s">
        <v>19</v>
      </c>
      <c r="S5" s="8" t="s">
        <v>20</v>
      </c>
    </row>
    <row r="6" spans="1:19" x14ac:dyDescent="0.25">
      <c r="A6" s="9" t="s">
        <v>21</v>
      </c>
      <c r="B6" s="9" t="s">
        <v>291</v>
      </c>
      <c r="C6" s="4">
        <v>201002862</v>
      </c>
      <c r="D6" s="4" t="s">
        <v>22</v>
      </c>
      <c r="E6" s="4" t="str">
        <f>"061182010"</f>
        <v>061182010</v>
      </c>
      <c r="F6" s="10">
        <v>40291</v>
      </c>
      <c r="G6" s="11">
        <v>75000</v>
      </c>
      <c r="H6" s="11">
        <v>75000</v>
      </c>
      <c r="I6" s="4" t="s">
        <v>23</v>
      </c>
      <c r="J6" s="4" t="s">
        <v>24</v>
      </c>
      <c r="K6" s="11">
        <v>0</v>
      </c>
      <c r="L6" s="4"/>
      <c r="M6" s="4"/>
      <c r="N6" s="11">
        <v>0</v>
      </c>
      <c r="O6" s="4"/>
      <c r="P6" s="4"/>
      <c r="Q6" s="11">
        <v>0</v>
      </c>
      <c r="R6" s="4"/>
      <c r="S6" s="12"/>
    </row>
    <row r="7" spans="1:19" x14ac:dyDescent="0.25">
      <c r="A7" s="9" t="s">
        <v>21</v>
      </c>
      <c r="B7" s="9" t="s">
        <v>291</v>
      </c>
      <c r="C7" s="4">
        <v>201003187</v>
      </c>
      <c r="D7" s="4" t="s">
        <v>25</v>
      </c>
      <c r="E7" s="4" t="str">
        <f>"078762010"</f>
        <v>078762010</v>
      </c>
      <c r="F7" s="10">
        <v>40340</v>
      </c>
      <c r="G7" s="11">
        <v>33700</v>
      </c>
      <c r="H7" s="11">
        <v>33700</v>
      </c>
      <c r="I7" s="4" t="s">
        <v>23</v>
      </c>
      <c r="J7" s="4" t="s">
        <v>24</v>
      </c>
      <c r="K7" s="11">
        <v>0</v>
      </c>
      <c r="L7" s="4"/>
      <c r="M7" s="4"/>
      <c r="N7" s="11">
        <v>0</v>
      </c>
      <c r="O7" s="4"/>
      <c r="P7" s="4"/>
      <c r="Q7" s="11">
        <v>0</v>
      </c>
      <c r="R7" s="4"/>
      <c r="S7" s="12"/>
    </row>
    <row r="8" spans="1:19" x14ac:dyDescent="0.25">
      <c r="A8" s="9" t="s">
        <v>21</v>
      </c>
      <c r="B8" s="9" t="s">
        <v>291</v>
      </c>
      <c r="C8" s="4">
        <v>201004321</v>
      </c>
      <c r="D8" s="4" t="s">
        <v>26</v>
      </c>
      <c r="E8" s="4" t="str">
        <f>"088982010"</f>
        <v>088982010</v>
      </c>
      <c r="F8" s="10">
        <v>40366</v>
      </c>
      <c r="G8" s="11">
        <v>30000</v>
      </c>
      <c r="H8" s="11">
        <v>30000</v>
      </c>
      <c r="I8" s="4" t="s">
        <v>23</v>
      </c>
      <c r="J8" s="4" t="s">
        <v>24</v>
      </c>
      <c r="K8" s="11">
        <v>0</v>
      </c>
      <c r="L8" s="4"/>
      <c r="M8" s="4"/>
      <c r="N8" s="11">
        <v>0</v>
      </c>
      <c r="O8" s="4"/>
      <c r="P8" s="4"/>
      <c r="Q8" s="11">
        <v>0</v>
      </c>
      <c r="R8" s="4"/>
      <c r="S8" s="12"/>
    </row>
    <row r="9" spans="1:19" x14ac:dyDescent="0.25">
      <c r="A9" s="9" t="s">
        <v>21</v>
      </c>
      <c r="B9" s="9" t="s">
        <v>291</v>
      </c>
      <c r="C9" s="4">
        <v>201004631</v>
      </c>
      <c r="D9" s="4" t="s">
        <v>27</v>
      </c>
      <c r="E9" s="4" t="str">
        <f>"095082010"</f>
        <v>095082010</v>
      </c>
      <c r="F9" s="10">
        <v>40382</v>
      </c>
      <c r="G9" s="11">
        <v>16750</v>
      </c>
      <c r="H9" s="11">
        <v>16750</v>
      </c>
      <c r="I9" s="4" t="s">
        <v>23</v>
      </c>
      <c r="J9" s="4" t="s">
        <v>24</v>
      </c>
      <c r="K9" s="11">
        <v>0</v>
      </c>
      <c r="L9" s="4"/>
      <c r="M9" s="4"/>
      <c r="N9" s="11">
        <v>0</v>
      </c>
      <c r="O9" s="4"/>
      <c r="P9" s="4"/>
      <c r="Q9" s="11">
        <v>0</v>
      </c>
      <c r="R9" s="4"/>
      <c r="S9" s="12"/>
    </row>
    <row r="10" spans="1:19" x14ac:dyDescent="0.25">
      <c r="A10" s="9" t="s">
        <v>28</v>
      </c>
      <c r="B10" s="9" t="s">
        <v>291</v>
      </c>
      <c r="C10" s="4">
        <v>201003202</v>
      </c>
      <c r="D10" s="4" t="s">
        <v>29</v>
      </c>
      <c r="E10" s="4" t="str">
        <f>"065782010"</f>
        <v>065782010</v>
      </c>
      <c r="F10" s="10">
        <v>40305</v>
      </c>
      <c r="G10" s="11">
        <v>72500</v>
      </c>
      <c r="H10" s="11">
        <v>72500</v>
      </c>
      <c r="I10" s="4" t="s">
        <v>30</v>
      </c>
      <c r="J10" s="4" t="s">
        <v>31</v>
      </c>
      <c r="K10" s="11">
        <v>0</v>
      </c>
      <c r="L10" s="4"/>
      <c r="M10" s="4"/>
      <c r="N10" s="11">
        <v>0</v>
      </c>
      <c r="O10" s="4"/>
      <c r="P10" s="4"/>
      <c r="Q10" s="11">
        <v>0</v>
      </c>
      <c r="R10" s="4"/>
      <c r="S10" s="12"/>
    </row>
    <row r="11" spans="1:19" x14ac:dyDescent="0.25">
      <c r="A11" s="9" t="s">
        <v>32</v>
      </c>
      <c r="B11" s="9" t="s">
        <v>291</v>
      </c>
      <c r="C11" s="4">
        <v>201001095</v>
      </c>
      <c r="D11" s="4" t="s">
        <v>33</v>
      </c>
      <c r="E11" s="4" t="str">
        <f>"025312010"</f>
        <v>025312010</v>
      </c>
      <c r="F11" s="10">
        <v>40177</v>
      </c>
      <c r="G11" s="11">
        <v>155000</v>
      </c>
      <c r="H11" s="11">
        <v>155000</v>
      </c>
      <c r="I11" s="4" t="s">
        <v>23</v>
      </c>
      <c r="J11" s="4" t="s">
        <v>24</v>
      </c>
      <c r="K11" s="11">
        <v>0</v>
      </c>
      <c r="L11" s="4"/>
      <c r="M11" s="4"/>
      <c r="N11" s="11">
        <v>0</v>
      </c>
      <c r="O11" s="4"/>
      <c r="P11" s="4"/>
      <c r="Q11" s="11">
        <v>0</v>
      </c>
      <c r="R11" s="4"/>
      <c r="S11" s="12"/>
    </row>
    <row r="12" spans="1:19" x14ac:dyDescent="0.25">
      <c r="A12" s="9" t="s">
        <v>34</v>
      </c>
      <c r="B12" s="9" t="s">
        <v>291</v>
      </c>
      <c r="C12" s="4">
        <v>201001639</v>
      </c>
      <c r="D12" s="4" t="s">
        <v>35</v>
      </c>
      <c r="E12" s="4" t="str">
        <f>"032082010"</f>
        <v>032082010</v>
      </c>
      <c r="F12" s="10">
        <v>40205</v>
      </c>
      <c r="G12" s="11">
        <v>305000</v>
      </c>
      <c r="H12" s="11">
        <v>305000</v>
      </c>
      <c r="I12" s="4" t="s">
        <v>23</v>
      </c>
      <c r="J12" s="4" t="s">
        <v>24</v>
      </c>
      <c r="K12" s="11">
        <v>0</v>
      </c>
      <c r="L12" s="4"/>
      <c r="M12" s="4"/>
      <c r="N12" s="11">
        <v>0</v>
      </c>
      <c r="O12" s="4"/>
      <c r="P12" s="4"/>
      <c r="Q12" s="11">
        <v>0</v>
      </c>
      <c r="R12" s="4"/>
      <c r="S12" s="12"/>
    </row>
    <row r="13" spans="1:19" x14ac:dyDescent="0.25">
      <c r="A13" s="9" t="s">
        <v>34</v>
      </c>
      <c r="B13" s="9" t="s">
        <v>291</v>
      </c>
      <c r="C13" s="4">
        <v>201001809</v>
      </c>
      <c r="D13" s="4"/>
      <c r="E13" s="4" t="str">
        <f>"035242010"</f>
        <v>035242010</v>
      </c>
      <c r="F13" s="10">
        <v>40213</v>
      </c>
      <c r="G13" s="11">
        <v>115000</v>
      </c>
      <c r="H13" s="11">
        <v>115000</v>
      </c>
      <c r="I13" s="4" t="s">
        <v>23</v>
      </c>
      <c r="J13" s="4" t="s">
        <v>24</v>
      </c>
      <c r="K13" s="11">
        <v>0</v>
      </c>
      <c r="L13" s="4"/>
      <c r="M13" s="4"/>
      <c r="N13" s="11">
        <v>0</v>
      </c>
      <c r="O13" s="4"/>
      <c r="P13" s="4"/>
      <c r="Q13" s="11">
        <v>0</v>
      </c>
      <c r="R13" s="4"/>
      <c r="S13" s="12"/>
    </row>
    <row r="14" spans="1:19" x14ac:dyDescent="0.25">
      <c r="A14" s="9" t="s">
        <v>34</v>
      </c>
      <c r="B14" s="9" t="s">
        <v>291</v>
      </c>
      <c r="C14" s="4">
        <v>201002376</v>
      </c>
      <c r="D14" s="4" t="s">
        <v>36</v>
      </c>
      <c r="E14" s="4" t="str">
        <f>"046922010"</f>
        <v>046922010</v>
      </c>
      <c r="F14" s="10">
        <v>40252</v>
      </c>
      <c r="G14" s="11">
        <v>10000</v>
      </c>
      <c r="H14" s="11">
        <v>10000</v>
      </c>
      <c r="I14" s="4" t="s">
        <v>23</v>
      </c>
      <c r="J14" s="4" t="s">
        <v>24</v>
      </c>
      <c r="K14" s="11">
        <v>0</v>
      </c>
      <c r="L14" s="4"/>
      <c r="M14" s="4"/>
      <c r="N14" s="11">
        <v>0</v>
      </c>
      <c r="O14" s="4"/>
      <c r="P14" s="4"/>
      <c r="Q14" s="11">
        <v>0</v>
      </c>
      <c r="R14" s="4"/>
      <c r="S14" s="12"/>
    </row>
    <row r="15" spans="1:19" x14ac:dyDescent="0.25">
      <c r="A15" s="9" t="s">
        <v>34</v>
      </c>
      <c r="B15" s="9" t="s">
        <v>291</v>
      </c>
      <c r="C15" s="4">
        <v>201002974</v>
      </c>
      <c r="D15" s="4" t="s">
        <v>37</v>
      </c>
      <c r="E15" s="4" t="str">
        <f>"065292010"</f>
        <v>065292010</v>
      </c>
      <c r="F15" s="10">
        <v>40304</v>
      </c>
      <c r="G15" s="11">
        <v>38000</v>
      </c>
      <c r="H15" s="11">
        <v>38000</v>
      </c>
      <c r="I15" s="4" t="s">
        <v>38</v>
      </c>
      <c r="J15" s="4" t="s">
        <v>39</v>
      </c>
      <c r="K15" s="11">
        <v>0</v>
      </c>
      <c r="L15" s="4"/>
      <c r="M15" s="4"/>
      <c r="N15" s="11">
        <v>0</v>
      </c>
      <c r="O15" s="4"/>
      <c r="P15" s="4"/>
      <c r="Q15" s="11">
        <v>0</v>
      </c>
      <c r="R15" s="4"/>
      <c r="S15" s="12"/>
    </row>
    <row r="16" spans="1:19" x14ac:dyDescent="0.25">
      <c r="A16" s="9" t="s">
        <v>34</v>
      </c>
      <c r="B16" s="9" t="s">
        <v>291</v>
      </c>
      <c r="C16" s="4">
        <v>201003979</v>
      </c>
      <c r="D16" s="4" t="s">
        <v>40</v>
      </c>
      <c r="E16" s="4" t="str">
        <f>"088322010"</f>
        <v>088322010</v>
      </c>
      <c r="F16" s="10">
        <v>40367</v>
      </c>
      <c r="G16" s="11">
        <v>350000</v>
      </c>
      <c r="H16" s="11">
        <v>350000</v>
      </c>
      <c r="I16" s="4" t="s">
        <v>23</v>
      </c>
      <c r="J16" s="4" t="s">
        <v>24</v>
      </c>
      <c r="K16" s="11">
        <v>0</v>
      </c>
      <c r="L16" s="4"/>
      <c r="M16" s="4"/>
      <c r="N16" s="11">
        <v>0</v>
      </c>
      <c r="O16" s="4"/>
      <c r="P16" s="4"/>
      <c r="Q16" s="11">
        <v>0</v>
      </c>
      <c r="R16" s="4"/>
      <c r="S16" s="12"/>
    </row>
    <row r="17" spans="1:19" x14ac:dyDescent="0.25">
      <c r="A17" s="9" t="s">
        <v>34</v>
      </c>
      <c r="B17" s="9" t="s">
        <v>291</v>
      </c>
      <c r="C17" s="4">
        <v>201004392</v>
      </c>
      <c r="D17" s="4" t="s">
        <v>2534</v>
      </c>
      <c r="E17" s="4" t="str">
        <f>"086502010"</f>
        <v>086502010</v>
      </c>
      <c r="F17" s="10">
        <v>40357</v>
      </c>
      <c r="G17" s="11">
        <v>98910</v>
      </c>
      <c r="H17" s="11">
        <v>0</v>
      </c>
      <c r="I17" s="4"/>
      <c r="J17" s="4"/>
      <c r="K17" s="11">
        <v>98910</v>
      </c>
      <c r="L17" s="4" t="s">
        <v>30</v>
      </c>
      <c r="M17" s="4" t="s">
        <v>31</v>
      </c>
      <c r="N17" s="11">
        <v>0</v>
      </c>
      <c r="O17" s="4"/>
      <c r="P17" s="4"/>
      <c r="Q17" s="11">
        <v>0</v>
      </c>
      <c r="R17" s="4"/>
      <c r="S17" s="12"/>
    </row>
    <row r="18" spans="1:19" x14ac:dyDescent="0.25">
      <c r="A18" s="9" t="s">
        <v>34</v>
      </c>
      <c r="B18" s="9" t="s">
        <v>291</v>
      </c>
      <c r="C18" s="4">
        <v>201004392</v>
      </c>
      <c r="D18" s="4" t="s">
        <v>41</v>
      </c>
      <c r="E18" s="4" t="str">
        <f>"086482010"</f>
        <v>086482010</v>
      </c>
      <c r="F18" s="10">
        <v>40357</v>
      </c>
      <c r="G18" s="11">
        <v>151090</v>
      </c>
      <c r="H18" s="11">
        <v>151090</v>
      </c>
      <c r="I18" s="4" t="s">
        <v>30</v>
      </c>
      <c r="J18" s="4" t="s">
        <v>31</v>
      </c>
      <c r="K18" s="11">
        <v>0</v>
      </c>
      <c r="L18" s="4"/>
      <c r="M18" s="4"/>
      <c r="N18" s="11">
        <v>0</v>
      </c>
      <c r="O18" s="4"/>
      <c r="P18" s="4"/>
      <c r="Q18" s="11">
        <v>0</v>
      </c>
      <c r="R18" s="4"/>
      <c r="S18" s="12"/>
    </row>
    <row r="19" spans="1:19" x14ac:dyDescent="0.25">
      <c r="A19" s="9" t="s">
        <v>42</v>
      </c>
      <c r="B19" s="9" t="s">
        <v>291</v>
      </c>
      <c r="C19" s="4">
        <v>201000019</v>
      </c>
      <c r="D19" s="4" t="s">
        <v>43</v>
      </c>
      <c r="E19" s="4" t="str">
        <f>"000442010"</f>
        <v>000442010</v>
      </c>
      <c r="F19" s="10">
        <v>40094</v>
      </c>
      <c r="G19" s="11">
        <v>20000</v>
      </c>
      <c r="H19" s="11">
        <v>20000</v>
      </c>
      <c r="I19" s="4" t="s">
        <v>23</v>
      </c>
      <c r="J19" s="4" t="s">
        <v>24</v>
      </c>
      <c r="K19" s="11">
        <v>0</v>
      </c>
      <c r="L19" s="4"/>
      <c r="M19" s="4"/>
      <c r="N19" s="11">
        <v>0</v>
      </c>
      <c r="O19" s="4"/>
      <c r="P19" s="4"/>
      <c r="Q19" s="11">
        <v>0</v>
      </c>
      <c r="R19" s="4"/>
      <c r="S19" s="12"/>
    </row>
    <row r="20" spans="1:19" x14ac:dyDescent="0.25">
      <c r="A20" s="9" t="s">
        <v>42</v>
      </c>
      <c r="B20" s="9" t="s">
        <v>291</v>
      </c>
      <c r="C20" s="4">
        <v>201004837</v>
      </c>
      <c r="D20" s="4" t="s">
        <v>44</v>
      </c>
      <c r="E20" s="4" t="str">
        <f>"097452010"</f>
        <v>097452010</v>
      </c>
      <c r="F20" s="10">
        <v>40394</v>
      </c>
      <c r="G20" s="11">
        <v>10000</v>
      </c>
      <c r="H20" s="11">
        <v>10000</v>
      </c>
      <c r="I20" s="4" t="s">
        <v>23</v>
      </c>
      <c r="J20" s="4" t="s">
        <v>24</v>
      </c>
      <c r="K20" s="11">
        <v>0</v>
      </c>
      <c r="L20" s="4"/>
      <c r="M20" s="4"/>
      <c r="N20" s="11">
        <v>0</v>
      </c>
      <c r="O20" s="4"/>
      <c r="P20" s="4"/>
      <c r="Q20" s="11">
        <v>0</v>
      </c>
      <c r="R20" s="4"/>
      <c r="S20" s="12"/>
    </row>
    <row r="21" spans="1:19" x14ac:dyDescent="0.25">
      <c r="A21" s="9" t="s">
        <v>42</v>
      </c>
      <c r="B21" s="9" t="s">
        <v>291</v>
      </c>
      <c r="C21" s="4">
        <v>201005481</v>
      </c>
      <c r="D21" s="4" t="s">
        <v>45</v>
      </c>
      <c r="E21" s="4" t="str">
        <f>"109192010"</f>
        <v>109192010</v>
      </c>
      <c r="F21" s="10">
        <v>40430</v>
      </c>
      <c r="G21" s="11">
        <v>45000</v>
      </c>
      <c r="H21" s="11">
        <v>45000</v>
      </c>
      <c r="I21" s="4" t="s">
        <v>23</v>
      </c>
      <c r="J21" s="4" t="s">
        <v>24</v>
      </c>
      <c r="K21" s="11">
        <v>0</v>
      </c>
      <c r="L21" s="4"/>
      <c r="M21" s="4"/>
      <c r="N21" s="11">
        <v>0</v>
      </c>
      <c r="O21" s="4"/>
      <c r="P21" s="4"/>
      <c r="Q21" s="11">
        <v>0</v>
      </c>
      <c r="R21" s="4"/>
      <c r="S21" s="12"/>
    </row>
    <row r="22" spans="1:19" x14ac:dyDescent="0.25">
      <c r="A22" s="9" t="s">
        <v>46</v>
      </c>
      <c r="B22" s="9" t="s">
        <v>291</v>
      </c>
      <c r="C22" s="4">
        <v>201002474</v>
      </c>
      <c r="D22" s="4"/>
      <c r="E22" s="4" t="str">
        <f>"052422010"</f>
        <v>052422010</v>
      </c>
      <c r="F22" s="10">
        <v>40266</v>
      </c>
      <c r="G22" s="11">
        <v>130464.09</v>
      </c>
      <c r="H22" s="11">
        <v>0</v>
      </c>
      <c r="I22" s="4"/>
      <c r="J22" s="4"/>
      <c r="K22" s="11">
        <v>104291.51</v>
      </c>
      <c r="L22" s="4" t="s">
        <v>30</v>
      </c>
      <c r="M22" s="4" t="s">
        <v>31</v>
      </c>
      <c r="N22" s="11">
        <v>25975.040000000001</v>
      </c>
      <c r="O22" s="4" t="s">
        <v>30</v>
      </c>
      <c r="P22" s="4" t="s">
        <v>31</v>
      </c>
      <c r="Q22" s="11">
        <v>197.54</v>
      </c>
      <c r="R22" s="4" t="s">
        <v>30</v>
      </c>
      <c r="S22" s="12" t="s">
        <v>31</v>
      </c>
    </row>
    <row r="23" spans="1:19" x14ac:dyDescent="0.25">
      <c r="A23" s="9" t="s">
        <v>46</v>
      </c>
      <c r="B23" s="9" t="s">
        <v>291</v>
      </c>
      <c r="C23" s="4">
        <v>201004038</v>
      </c>
      <c r="D23" s="4" t="s">
        <v>47</v>
      </c>
      <c r="E23" s="4" t="str">
        <f>"078412010"</f>
        <v>078412010</v>
      </c>
      <c r="F23" s="10">
        <v>40340</v>
      </c>
      <c r="G23" s="11">
        <v>196000</v>
      </c>
      <c r="H23" s="11">
        <v>70000</v>
      </c>
      <c r="I23" s="4" t="s">
        <v>30</v>
      </c>
      <c r="J23" s="4" t="s">
        <v>31</v>
      </c>
      <c r="K23" s="11">
        <v>126000</v>
      </c>
      <c r="L23" s="4" t="s">
        <v>30</v>
      </c>
      <c r="M23" s="4" t="s">
        <v>31</v>
      </c>
      <c r="N23" s="11">
        <v>0</v>
      </c>
      <c r="O23" s="4"/>
      <c r="P23" s="4"/>
      <c r="Q23" s="11">
        <v>0</v>
      </c>
      <c r="R23" s="4"/>
      <c r="S23" s="12"/>
    </row>
    <row r="24" spans="1:19" x14ac:dyDescent="0.25">
      <c r="A24" s="9" t="s">
        <v>46</v>
      </c>
      <c r="B24" s="9" t="s">
        <v>291</v>
      </c>
      <c r="C24" s="4">
        <v>201004868</v>
      </c>
      <c r="D24" s="4" t="s">
        <v>48</v>
      </c>
      <c r="E24" s="4" t="str">
        <f>"097572010"</f>
        <v>097572010</v>
      </c>
      <c r="F24" s="10">
        <v>40394</v>
      </c>
      <c r="G24" s="11">
        <v>650000</v>
      </c>
      <c r="H24" s="11">
        <v>650000</v>
      </c>
      <c r="I24" s="4" t="s">
        <v>30</v>
      </c>
      <c r="J24" s="4" t="s">
        <v>31</v>
      </c>
      <c r="K24" s="11">
        <v>0</v>
      </c>
      <c r="L24" s="4"/>
      <c r="M24" s="4"/>
      <c r="N24" s="11">
        <v>0</v>
      </c>
      <c r="O24" s="4"/>
      <c r="P24" s="4"/>
      <c r="Q24" s="11">
        <v>0</v>
      </c>
      <c r="R24" s="4"/>
      <c r="S24" s="12"/>
    </row>
    <row r="25" spans="1:19" x14ac:dyDescent="0.25">
      <c r="A25" s="9" t="s">
        <v>49</v>
      </c>
      <c r="B25" s="9" t="s">
        <v>291</v>
      </c>
      <c r="C25" s="4">
        <v>201000085</v>
      </c>
      <c r="D25" s="4" t="s">
        <v>50</v>
      </c>
      <c r="E25" s="4" t="str">
        <f>"001582010"</f>
        <v>001582010</v>
      </c>
      <c r="F25" s="10">
        <v>40094</v>
      </c>
      <c r="G25" s="11">
        <v>75000</v>
      </c>
      <c r="H25" s="11">
        <v>75000</v>
      </c>
      <c r="I25" s="4" t="s">
        <v>38</v>
      </c>
      <c r="J25" s="4" t="s">
        <v>39</v>
      </c>
      <c r="K25" s="11">
        <v>0</v>
      </c>
      <c r="L25" s="4"/>
      <c r="M25" s="4"/>
      <c r="N25" s="11">
        <v>0</v>
      </c>
      <c r="O25" s="4"/>
      <c r="P25" s="4"/>
      <c r="Q25" s="11">
        <v>0</v>
      </c>
      <c r="R25" s="4"/>
      <c r="S25" s="12"/>
    </row>
    <row r="26" spans="1:19" x14ac:dyDescent="0.25">
      <c r="A26" s="9" t="s">
        <v>49</v>
      </c>
      <c r="B26" s="9" t="s">
        <v>291</v>
      </c>
      <c r="C26" s="4">
        <v>201000112</v>
      </c>
      <c r="D26" s="4" t="s">
        <v>51</v>
      </c>
      <c r="E26" s="4" t="str">
        <f>"001822010"</f>
        <v>001822010</v>
      </c>
      <c r="F26" s="10">
        <v>40094</v>
      </c>
      <c r="G26" s="11">
        <v>20650</v>
      </c>
      <c r="H26" s="11">
        <v>20650</v>
      </c>
      <c r="I26" s="4" t="s">
        <v>38</v>
      </c>
      <c r="J26" s="4" t="s">
        <v>39</v>
      </c>
      <c r="K26" s="11">
        <v>0</v>
      </c>
      <c r="L26" s="4"/>
      <c r="M26" s="4"/>
      <c r="N26" s="11">
        <v>0</v>
      </c>
      <c r="O26" s="4"/>
      <c r="P26" s="4"/>
      <c r="Q26" s="11">
        <v>0</v>
      </c>
      <c r="R26" s="4"/>
      <c r="S26" s="12"/>
    </row>
    <row r="27" spans="1:19" x14ac:dyDescent="0.25">
      <c r="A27" s="9" t="s">
        <v>49</v>
      </c>
      <c r="B27" s="9" t="s">
        <v>291</v>
      </c>
      <c r="C27" s="4">
        <v>201000188</v>
      </c>
      <c r="D27" s="4" t="s">
        <v>52</v>
      </c>
      <c r="E27" s="4" t="str">
        <f>"003162010"</f>
        <v>003162010</v>
      </c>
      <c r="F27" s="10">
        <v>40101</v>
      </c>
      <c r="G27" s="11">
        <v>60000</v>
      </c>
      <c r="H27" s="11">
        <v>60000</v>
      </c>
      <c r="I27" s="4" t="s">
        <v>38</v>
      </c>
      <c r="J27" s="4" t="s">
        <v>39</v>
      </c>
      <c r="K27" s="11">
        <v>0</v>
      </c>
      <c r="L27" s="4"/>
      <c r="M27" s="4"/>
      <c r="N27" s="11">
        <v>0</v>
      </c>
      <c r="O27" s="4"/>
      <c r="P27" s="4"/>
      <c r="Q27" s="11">
        <v>0</v>
      </c>
      <c r="R27" s="4"/>
      <c r="S27" s="12"/>
    </row>
    <row r="28" spans="1:19" x14ac:dyDescent="0.25">
      <c r="A28" s="9" t="s">
        <v>49</v>
      </c>
      <c r="B28" s="9" t="s">
        <v>291</v>
      </c>
      <c r="C28" s="4">
        <v>201000261</v>
      </c>
      <c r="D28" s="4" t="s">
        <v>53</v>
      </c>
      <c r="E28" s="4" t="str">
        <f>"004872010"</f>
        <v>004872010</v>
      </c>
      <c r="F28" s="10">
        <v>40106</v>
      </c>
      <c r="G28" s="11">
        <v>318800.40000000002</v>
      </c>
      <c r="H28" s="11">
        <v>318311</v>
      </c>
      <c r="I28" s="4" t="s">
        <v>54</v>
      </c>
      <c r="J28" s="4" t="s">
        <v>55</v>
      </c>
      <c r="K28" s="11">
        <v>0</v>
      </c>
      <c r="L28" s="4"/>
      <c r="M28" s="4"/>
      <c r="N28" s="11">
        <v>489.4</v>
      </c>
      <c r="O28" s="4" t="s">
        <v>56</v>
      </c>
      <c r="P28" s="4" t="s">
        <v>57</v>
      </c>
      <c r="Q28" s="11">
        <v>0</v>
      </c>
      <c r="R28" s="4"/>
      <c r="S28" s="12"/>
    </row>
    <row r="29" spans="1:19" x14ac:dyDescent="0.25">
      <c r="A29" s="9" t="s">
        <v>49</v>
      </c>
      <c r="B29" s="9" t="s">
        <v>291</v>
      </c>
      <c r="C29" s="4">
        <v>201000284</v>
      </c>
      <c r="D29" s="4" t="s">
        <v>58</v>
      </c>
      <c r="E29" s="4" t="str">
        <f>"005172010"</f>
        <v>005172010</v>
      </c>
      <c r="F29" s="10">
        <v>40108</v>
      </c>
      <c r="G29" s="11">
        <v>5000</v>
      </c>
      <c r="H29" s="11">
        <v>5000</v>
      </c>
      <c r="I29" s="4" t="s">
        <v>38</v>
      </c>
      <c r="J29" s="4" t="s">
        <v>39</v>
      </c>
      <c r="K29" s="11">
        <v>0</v>
      </c>
      <c r="L29" s="4"/>
      <c r="M29" s="4"/>
      <c r="N29" s="11">
        <v>0</v>
      </c>
      <c r="O29" s="4"/>
      <c r="P29" s="4"/>
      <c r="Q29" s="11">
        <v>0</v>
      </c>
      <c r="R29" s="4"/>
      <c r="S29" s="12"/>
    </row>
    <row r="30" spans="1:19" x14ac:dyDescent="0.25">
      <c r="A30" s="9" t="s">
        <v>49</v>
      </c>
      <c r="B30" s="9" t="s">
        <v>291</v>
      </c>
      <c r="C30" s="4">
        <v>201000565</v>
      </c>
      <c r="D30" s="4" t="s">
        <v>59</v>
      </c>
      <c r="E30" s="4" t="str">
        <f>"010252010"</f>
        <v>010252010</v>
      </c>
      <c r="F30" s="10">
        <v>40126</v>
      </c>
      <c r="G30" s="11">
        <v>15000</v>
      </c>
      <c r="H30" s="11">
        <v>15000</v>
      </c>
      <c r="I30" s="4" t="s">
        <v>23</v>
      </c>
      <c r="J30" s="4" t="s">
        <v>24</v>
      </c>
      <c r="K30" s="11">
        <v>0</v>
      </c>
      <c r="L30" s="4"/>
      <c r="M30" s="4"/>
      <c r="N30" s="11">
        <v>0</v>
      </c>
      <c r="O30" s="4"/>
      <c r="P30" s="4"/>
      <c r="Q30" s="11">
        <v>0</v>
      </c>
      <c r="R30" s="4"/>
      <c r="S30" s="12"/>
    </row>
    <row r="31" spans="1:19" x14ac:dyDescent="0.25">
      <c r="A31" s="9" t="s">
        <v>49</v>
      </c>
      <c r="B31" s="9" t="s">
        <v>291</v>
      </c>
      <c r="C31" s="4">
        <v>201000600</v>
      </c>
      <c r="D31" s="4" t="s">
        <v>60</v>
      </c>
      <c r="E31" s="4" t="str">
        <f>"011312010"</f>
        <v>011312010</v>
      </c>
      <c r="F31" s="10">
        <v>40129</v>
      </c>
      <c r="G31" s="11">
        <v>10000</v>
      </c>
      <c r="H31" s="11">
        <v>10000</v>
      </c>
      <c r="I31" s="4" t="s">
        <v>23</v>
      </c>
      <c r="J31" s="4" t="s">
        <v>24</v>
      </c>
      <c r="K31" s="11">
        <v>0</v>
      </c>
      <c r="L31" s="4"/>
      <c r="M31" s="4"/>
      <c r="N31" s="11">
        <v>0</v>
      </c>
      <c r="O31" s="4"/>
      <c r="P31" s="4"/>
      <c r="Q31" s="11">
        <v>0</v>
      </c>
      <c r="R31" s="4"/>
      <c r="S31" s="12"/>
    </row>
    <row r="32" spans="1:19" x14ac:dyDescent="0.25">
      <c r="A32" s="9" t="s">
        <v>49</v>
      </c>
      <c r="B32" s="9" t="s">
        <v>291</v>
      </c>
      <c r="C32" s="4">
        <v>201000604</v>
      </c>
      <c r="D32" s="4" t="s">
        <v>61</v>
      </c>
      <c r="E32" s="4" t="str">
        <f>"011212010"</f>
        <v>011212010</v>
      </c>
      <c r="F32" s="10">
        <v>40129</v>
      </c>
      <c r="G32" s="11">
        <v>27000</v>
      </c>
      <c r="H32" s="11">
        <v>27000</v>
      </c>
      <c r="I32" s="4" t="s">
        <v>23</v>
      </c>
      <c r="J32" s="4" t="s">
        <v>24</v>
      </c>
      <c r="K32" s="11">
        <v>0</v>
      </c>
      <c r="L32" s="4"/>
      <c r="M32" s="4"/>
      <c r="N32" s="11">
        <v>0</v>
      </c>
      <c r="O32" s="4"/>
      <c r="P32" s="4"/>
      <c r="Q32" s="11">
        <v>0</v>
      </c>
      <c r="R32" s="4"/>
      <c r="S32" s="12"/>
    </row>
    <row r="33" spans="1:19" x14ac:dyDescent="0.25">
      <c r="A33" s="9" t="s">
        <v>49</v>
      </c>
      <c r="B33" s="9" t="s">
        <v>291</v>
      </c>
      <c r="C33" s="4">
        <v>201000687</v>
      </c>
      <c r="D33" s="4" t="s">
        <v>62</v>
      </c>
      <c r="E33" s="4" t="str">
        <f>"014302010"</f>
        <v>014302010</v>
      </c>
      <c r="F33" s="10">
        <v>40141</v>
      </c>
      <c r="G33" s="11">
        <v>1000</v>
      </c>
      <c r="H33" s="11">
        <v>1000</v>
      </c>
      <c r="I33" s="4" t="s">
        <v>23</v>
      </c>
      <c r="J33" s="4" t="s">
        <v>24</v>
      </c>
      <c r="K33" s="11">
        <v>0</v>
      </c>
      <c r="L33" s="4"/>
      <c r="M33" s="4"/>
      <c r="N33" s="11">
        <v>0</v>
      </c>
      <c r="O33" s="4"/>
      <c r="P33" s="4"/>
      <c r="Q33" s="11">
        <v>0</v>
      </c>
      <c r="R33" s="4"/>
      <c r="S33" s="12"/>
    </row>
    <row r="34" spans="1:19" x14ac:dyDescent="0.25">
      <c r="A34" s="9" t="s">
        <v>49</v>
      </c>
      <c r="B34" s="9" t="s">
        <v>291</v>
      </c>
      <c r="C34" s="4">
        <v>201001265</v>
      </c>
      <c r="D34" s="4" t="s">
        <v>63</v>
      </c>
      <c r="E34" s="4" t="str">
        <f>"025352010"</f>
        <v>025352010</v>
      </c>
      <c r="F34" s="10">
        <v>40184</v>
      </c>
      <c r="G34" s="11">
        <v>590755.06000000006</v>
      </c>
      <c r="H34" s="11">
        <v>590755.06000000006</v>
      </c>
      <c r="I34" s="4" t="s">
        <v>64</v>
      </c>
      <c r="J34" s="4" t="s">
        <v>65</v>
      </c>
      <c r="K34" s="11">
        <v>0</v>
      </c>
      <c r="L34" s="4"/>
      <c r="M34" s="4"/>
      <c r="N34" s="11">
        <v>0</v>
      </c>
      <c r="O34" s="4"/>
      <c r="P34" s="4"/>
      <c r="Q34" s="11">
        <v>0</v>
      </c>
      <c r="R34" s="4"/>
      <c r="S34" s="12"/>
    </row>
    <row r="35" spans="1:19" x14ac:dyDescent="0.25">
      <c r="A35" s="9" t="s">
        <v>49</v>
      </c>
      <c r="B35" s="9" t="s">
        <v>291</v>
      </c>
      <c r="C35" s="4">
        <v>201001339</v>
      </c>
      <c r="D35" s="4" t="s">
        <v>66</v>
      </c>
      <c r="E35" s="4" t="str">
        <f>"034102010"</f>
        <v>034102010</v>
      </c>
      <c r="F35" s="10">
        <v>40205</v>
      </c>
      <c r="G35" s="11">
        <v>2024.81</v>
      </c>
      <c r="H35" s="11">
        <v>1000</v>
      </c>
      <c r="I35" s="4" t="s">
        <v>23</v>
      </c>
      <c r="J35" s="4" t="s">
        <v>24</v>
      </c>
      <c r="K35" s="11">
        <v>1024.81</v>
      </c>
      <c r="L35" s="4" t="s">
        <v>23</v>
      </c>
      <c r="M35" s="4" t="s">
        <v>24</v>
      </c>
      <c r="N35" s="11">
        <v>0</v>
      </c>
      <c r="O35" s="4"/>
      <c r="P35" s="4"/>
      <c r="Q35" s="11">
        <v>0</v>
      </c>
      <c r="R35" s="4"/>
      <c r="S35" s="12"/>
    </row>
    <row r="36" spans="1:19" x14ac:dyDescent="0.25">
      <c r="A36" s="9" t="s">
        <v>49</v>
      </c>
      <c r="B36" s="9" t="s">
        <v>291</v>
      </c>
      <c r="C36" s="4">
        <v>201001432</v>
      </c>
      <c r="D36" s="4" t="s">
        <v>66</v>
      </c>
      <c r="E36" s="4" t="str">
        <f>"033982010"</f>
        <v>033982010</v>
      </c>
      <c r="F36" s="10">
        <v>40205</v>
      </c>
      <c r="G36" s="11">
        <v>106092.55</v>
      </c>
      <c r="H36" s="11">
        <v>104500</v>
      </c>
      <c r="I36" s="4" t="s">
        <v>23</v>
      </c>
      <c r="J36" s="4" t="s">
        <v>24</v>
      </c>
      <c r="K36" s="11">
        <v>0</v>
      </c>
      <c r="L36" s="4"/>
      <c r="M36" s="4"/>
      <c r="N36" s="11">
        <v>1592.55</v>
      </c>
      <c r="O36" s="4" t="s">
        <v>23</v>
      </c>
      <c r="P36" s="4" t="s">
        <v>24</v>
      </c>
      <c r="Q36" s="11">
        <v>0</v>
      </c>
      <c r="R36" s="4"/>
      <c r="S36" s="12"/>
    </row>
    <row r="37" spans="1:19" x14ac:dyDescent="0.25">
      <c r="A37" s="9" t="s">
        <v>49</v>
      </c>
      <c r="B37" s="9" t="s">
        <v>291</v>
      </c>
      <c r="C37" s="4">
        <v>201001595</v>
      </c>
      <c r="D37" s="4" t="s">
        <v>67</v>
      </c>
      <c r="E37" s="4" t="str">
        <f>"031502010"</f>
        <v>031502010</v>
      </c>
      <c r="F37" s="10">
        <v>40198</v>
      </c>
      <c r="G37" s="11">
        <v>2247781</v>
      </c>
      <c r="H37" s="11">
        <v>2247781</v>
      </c>
      <c r="I37" s="4" t="s">
        <v>68</v>
      </c>
      <c r="J37" s="4" t="s">
        <v>69</v>
      </c>
      <c r="K37" s="11">
        <v>0</v>
      </c>
      <c r="L37" s="4"/>
      <c r="M37" s="4"/>
      <c r="N37" s="11">
        <v>0</v>
      </c>
      <c r="O37" s="4"/>
      <c r="P37" s="4"/>
      <c r="Q37" s="11">
        <v>0</v>
      </c>
      <c r="R37" s="4"/>
      <c r="S37" s="12"/>
    </row>
    <row r="38" spans="1:19" x14ac:dyDescent="0.25">
      <c r="A38" s="9" t="s">
        <v>49</v>
      </c>
      <c r="B38" s="9" t="s">
        <v>291</v>
      </c>
      <c r="C38" s="4">
        <v>201001699</v>
      </c>
      <c r="D38" s="4" t="s">
        <v>70</v>
      </c>
      <c r="E38" s="4" t="str">
        <f>"033542010"</f>
        <v>033542010</v>
      </c>
      <c r="F38" s="10">
        <v>40204</v>
      </c>
      <c r="G38" s="11">
        <v>50000</v>
      </c>
      <c r="H38" s="11">
        <v>50000</v>
      </c>
      <c r="I38" s="4" t="s">
        <v>38</v>
      </c>
      <c r="J38" s="4" t="s">
        <v>39</v>
      </c>
      <c r="K38" s="11">
        <v>0</v>
      </c>
      <c r="L38" s="4"/>
      <c r="M38" s="4"/>
      <c r="N38" s="11">
        <v>0</v>
      </c>
      <c r="O38" s="4"/>
      <c r="P38" s="4"/>
      <c r="Q38" s="11">
        <v>0</v>
      </c>
      <c r="R38" s="4"/>
      <c r="S38" s="12"/>
    </row>
    <row r="39" spans="1:19" x14ac:dyDescent="0.25">
      <c r="A39" s="9" t="s">
        <v>49</v>
      </c>
      <c r="B39" s="9" t="s">
        <v>291</v>
      </c>
      <c r="C39" s="4">
        <v>201001848</v>
      </c>
      <c r="D39" s="4" t="s">
        <v>71</v>
      </c>
      <c r="E39" s="4" t="str">
        <f>"038232010"</f>
        <v>038232010</v>
      </c>
      <c r="F39" s="10">
        <v>40227</v>
      </c>
      <c r="G39" s="11">
        <v>146328.98000000001</v>
      </c>
      <c r="H39" s="11">
        <v>146328.98000000001</v>
      </c>
      <c r="I39" s="4" t="s">
        <v>72</v>
      </c>
      <c r="J39" s="4" t="s">
        <v>73</v>
      </c>
      <c r="K39" s="11">
        <v>0</v>
      </c>
      <c r="L39" s="4"/>
      <c r="M39" s="4"/>
      <c r="N39" s="11">
        <v>0</v>
      </c>
      <c r="O39" s="4"/>
      <c r="P39" s="4"/>
      <c r="Q39" s="11">
        <v>0</v>
      </c>
      <c r="R39" s="4"/>
      <c r="S39" s="12"/>
    </row>
    <row r="40" spans="1:19" x14ac:dyDescent="0.25">
      <c r="A40" s="9" t="s">
        <v>49</v>
      </c>
      <c r="B40" s="9" t="s">
        <v>291</v>
      </c>
      <c r="C40" s="4">
        <v>201001848</v>
      </c>
      <c r="D40" s="4" t="s">
        <v>71</v>
      </c>
      <c r="E40" s="4" t="str">
        <f>"046982010"</f>
        <v>046982010</v>
      </c>
      <c r="F40" s="10">
        <v>40252</v>
      </c>
      <c r="G40" s="11">
        <v>106671.02</v>
      </c>
      <c r="H40" s="11">
        <v>106671.02</v>
      </c>
      <c r="I40" s="4" t="s">
        <v>38</v>
      </c>
      <c r="J40" s="4" t="s">
        <v>39</v>
      </c>
      <c r="K40" s="11">
        <v>0</v>
      </c>
      <c r="L40" s="4"/>
      <c r="M40" s="4"/>
      <c r="N40" s="11">
        <v>0</v>
      </c>
      <c r="O40" s="4"/>
      <c r="P40" s="4"/>
      <c r="Q40" s="11">
        <v>0</v>
      </c>
      <c r="R40" s="4"/>
      <c r="S40" s="12"/>
    </row>
    <row r="41" spans="1:19" x14ac:dyDescent="0.25">
      <c r="A41" s="9" t="s">
        <v>49</v>
      </c>
      <c r="B41" s="9" t="s">
        <v>291</v>
      </c>
      <c r="C41" s="4">
        <v>201002559</v>
      </c>
      <c r="D41" s="4" t="s">
        <v>74</v>
      </c>
      <c r="E41" s="4" t="str">
        <f>"050742010"</f>
        <v>050742010</v>
      </c>
      <c r="F41" s="10">
        <v>40262</v>
      </c>
      <c r="G41" s="11">
        <v>9500</v>
      </c>
      <c r="H41" s="11">
        <v>9500</v>
      </c>
      <c r="I41" s="4" t="s">
        <v>38</v>
      </c>
      <c r="J41" s="4" t="s">
        <v>39</v>
      </c>
      <c r="K41" s="11">
        <v>0</v>
      </c>
      <c r="L41" s="4"/>
      <c r="M41" s="4"/>
      <c r="N41" s="11">
        <v>0</v>
      </c>
      <c r="O41" s="4"/>
      <c r="P41" s="4"/>
      <c r="Q41" s="11">
        <v>0</v>
      </c>
      <c r="R41" s="4"/>
      <c r="S41" s="12"/>
    </row>
    <row r="42" spans="1:19" x14ac:dyDescent="0.25">
      <c r="A42" s="9" t="s">
        <v>49</v>
      </c>
      <c r="B42" s="9" t="s">
        <v>291</v>
      </c>
      <c r="C42" s="4">
        <v>201002663</v>
      </c>
      <c r="D42" s="4" t="s">
        <v>75</v>
      </c>
      <c r="E42" s="4" t="str">
        <f>"052882010"</f>
        <v>052882010</v>
      </c>
      <c r="F42" s="10">
        <v>40266</v>
      </c>
      <c r="G42" s="11">
        <v>30000</v>
      </c>
      <c r="H42" s="11">
        <v>30000</v>
      </c>
      <c r="I42" s="4" t="s">
        <v>68</v>
      </c>
      <c r="J42" s="4" t="s">
        <v>69</v>
      </c>
      <c r="K42" s="11">
        <v>0</v>
      </c>
      <c r="L42" s="4"/>
      <c r="M42" s="4"/>
      <c r="N42" s="11">
        <v>0</v>
      </c>
      <c r="O42" s="4"/>
      <c r="P42" s="4"/>
      <c r="Q42" s="11">
        <v>0</v>
      </c>
      <c r="R42" s="4"/>
      <c r="S42" s="12"/>
    </row>
    <row r="43" spans="1:19" x14ac:dyDescent="0.25">
      <c r="A43" s="9" t="s">
        <v>49</v>
      </c>
      <c r="B43" s="9" t="s">
        <v>291</v>
      </c>
      <c r="C43" s="4">
        <v>201003021</v>
      </c>
      <c r="D43" s="4" t="s">
        <v>76</v>
      </c>
      <c r="E43" s="4" t="str">
        <f>"060122010"</f>
        <v>060122010</v>
      </c>
      <c r="F43" s="10">
        <v>40289</v>
      </c>
      <c r="G43" s="11">
        <v>5000</v>
      </c>
      <c r="H43" s="11">
        <v>5000</v>
      </c>
      <c r="I43" s="4" t="s">
        <v>23</v>
      </c>
      <c r="J43" s="4" t="s">
        <v>24</v>
      </c>
      <c r="K43" s="11">
        <v>0</v>
      </c>
      <c r="L43" s="4"/>
      <c r="M43" s="4"/>
      <c r="N43" s="11">
        <v>0</v>
      </c>
      <c r="O43" s="4"/>
      <c r="P43" s="4"/>
      <c r="Q43" s="11">
        <v>0</v>
      </c>
      <c r="R43" s="4"/>
      <c r="S43" s="12"/>
    </row>
    <row r="44" spans="1:19" x14ac:dyDescent="0.25">
      <c r="A44" s="9" t="s">
        <v>49</v>
      </c>
      <c r="B44" s="9" t="s">
        <v>291</v>
      </c>
      <c r="C44" s="4">
        <v>201003353</v>
      </c>
      <c r="D44" s="4" t="s">
        <v>77</v>
      </c>
      <c r="E44" s="4" t="str">
        <f>"076172010"</f>
        <v>076172010</v>
      </c>
      <c r="F44" s="10">
        <v>40333</v>
      </c>
      <c r="G44" s="11">
        <v>110000</v>
      </c>
      <c r="H44" s="11">
        <v>110000</v>
      </c>
      <c r="I44" s="4" t="s">
        <v>23</v>
      </c>
      <c r="J44" s="4" t="s">
        <v>24</v>
      </c>
      <c r="K44" s="11">
        <v>0</v>
      </c>
      <c r="L44" s="4"/>
      <c r="M44" s="4"/>
      <c r="N44" s="11">
        <v>0</v>
      </c>
      <c r="O44" s="4"/>
      <c r="P44" s="4"/>
      <c r="Q44" s="11">
        <v>0</v>
      </c>
      <c r="R44" s="4"/>
      <c r="S44" s="12"/>
    </row>
    <row r="45" spans="1:19" x14ac:dyDescent="0.25">
      <c r="A45" s="9" t="s">
        <v>49</v>
      </c>
      <c r="B45" s="9" t="s">
        <v>291</v>
      </c>
      <c r="C45" s="4">
        <v>201003391</v>
      </c>
      <c r="D45" s="4" t="s">
        <v>78</v>
      </c>
      <c r="E45" s="4" t="str">
        <f>"069522010"</f>
        <v>069522010</v>
      </c>
      <c r="F45" s="10">
        <v>40312</v>
      </c>
      <c r="G45" s="11">
        <v>35000</v>
      </c>
      <c r="H45" s="11">
        <v>35000</v>
      </c>
      <c r="I45" s="4" t="s">
        <v>38</v>
      </c>
      <c r="J45" s="4" t="s">
        <v>39</v>
      </c>
      <c r="K45" s="11">
        <v>0</v>
      </c>
      <c r="L45" s="4"/>
      <c r="M45" s="4"/>
      <c r="N45" s="11">
        <v>0</v>
      </c>
      <c r="O45" s="4"/>
      <c r="P45" s="4"/>
      <c r="Q45" s="11">
        <v>0</v>
      </c>
      <c r="R45" s="4"/>
      <c r="S45" s="12"/>
    </row>
    <row r="46" spans="1:19" x14ac:dyDescent="0.25">
      <c r="A46" s="9" t="s">
        <v>49</v>
      </c>
      <c r="B46" s="9" t="s">
        <v>291</v>
      </c>
      <c r="C46" s="4">
        <v>201003860</v>
      </c>
      <c r="D46" s="4"/>
      <c r="E46" s="4" t="str">
        <f>"077872010"</f>
        <v>077872010</v>
      </c>
      <c r="F46" s="10">
        <v>40340</v>
      </c>
      <c r="G46" s="11">
        <v>206.4</v>
      </c>
      <c r="H46" s="11">
        <v>0</v>
      </c>
      <c r="I46" s="4"/>
      <c r="J46" s="4"/>
      <c r="K46" s="11">
        <v>0</v>
      </c>
      <c r="L46" s="4"/>
      <c r="M46" s="4"/>
      <c r="N46" s="11">
        <v>206.4</v>
      </c>
      <c r="O46" s="4" t="s">
        <v>56</v>
      </c>
      <c r="P46" s="4" t="s">
        <v>57</v>
      </c>
      <c r="Q46" s="11">
        <v>0</v>
      </c>
      <c r="R46" s="4"/>
      <c r="S46" s="12"/>
    </row>
    <row r="47" spans="1:19" x14ac:dyDescent="0.25">
      <c r="A47" s="9" t="s">
        <v>79</v>
      </c>
      <c r="B47" s="9" t="s">
        <v>291</v>
      </c>
      <c r="C47" s="4">
        <v>201002223</v>
      </c>
      <c r="D47" s="4" t="s">
        <v>80</v>
      </c>
      <c r="E47" s="4" t="str">
        <f>"046162010"</f>
        <v>046162010</v>
      </c>
      <c r="F47" s="10">
        <v>40249</v>
      </c>
      <c r="G47" s="11">
        <v>10000</v>
      </c>
      <c r="H47" s="11">
        <v>10000</v>
      </c>
      <c r="I47" s="4" t="s">
        <v>38</v>
      </c>
      <c r="J47" s="4" t="s">
        <v>39</v>
      </c>
      <c r="K47" s="11">
        <v>0</v>
      </c>
      <c r="L47" s="4"/>
      <c r="M47" s="4"/>
      <c r="N47" s="11">
        <v>0</v>
      </c>
      <c r="O47" s="4"/>
      <c r="P47" s="4"/>
      <c r="Q47" s="11">
        <v>0</v>
      </c>
      <c r="R47" s="4"/>
      <c r="S47" s="12"/>
    </row>
    <row r="48" spans="1:19" x14ac:dyDescent="0.25">
      <c r="A48" s="9" t="s">
        <v>81</v>
      </c>
      <c r="B48" s="9" t="s">
        <v>291</v>
      </c>
      <c r="C48" s="4">
        <v>201000058</v>
      </c>
      <c r="D48" s="4" t="s">
        <v>82</v>
      </c>
      <c r="E48" s="4" t="str">
        <f>"000522010"</f>
        <v>000522010</v>
      </c>
      <c r="F48" s="10">
        <v>40092</v>
      </c>
      <c r="G48" s="11">
        <v>78000</v>
      </c>
      <c r="H48" s="11">
        <v>78000</v>
      </c>
      <c r="I48" s="4" t="s">
        <v>23</v>
      </c>
      <c r="J48" s="4" t="s">
        <v>24</v>
      </c>
      <c r="K48" s="11">
        <v>0</v>
      </c>
      <c r="L48" s="4"/>
      <c r="M48" s="4"/>
      <c r="N48" s="11">
        <v>0</v>
      </c>
      <c r="O48" s="4"/>
      <c r="P48" s="4"/>
      <c r="Q48" s="11">
        <v>0</v>
      </c>
      <c r="R48" s="4"/>
      <c r="S48" s="12"/>
    </row>
    <row r="49" spans="1:19" x14ac:dyDescent="0.25">
      <c r="A49" s="9" t="s">
        <v>81</v>
      </c>
      <c r="B49" s="9" t="s">
        <v>291</v>
      </c>
      <c r="C49" s="4">
        <v>201000747</v>
      </c>
      <c r="D49" s="4" t="s">
        <v>83</v>
      </c>
      <c r="E49" s="4" t="str">
        <f>"015562010"</f>
        <v>015562010</v>
      </c>
      <c r="F49" s="10">
        <v>40142</v>
      </c>
      <c r="G49" s="11">
        <v>72840</v>
      </c>
      <c r="H49" s="11">
        <v>72840</v>
      </c>
      <c r="I49" s="4" t="s">
        <v>23</v>
      </c>
      <c r="J49" s="4" t="s">
        <v>24</v>
      </c>
      <c r="K49" s="11">
        <v>0</v>
      </c>
      <c r="L49" s="4"/>
      <c r="M49" s="4"/>
      <c r="N49" s="11">
        <v>0</v>
      </c>
      <c r="O49" s="4"/>
      <c r="P49" s="4"/>
      <c r="Q49" s="11">
        <v>0</v>
      </c>
      <c r="R49" s="4"/>
      <c r="S49" s="12"/>
    </row>
    <row r="50" spans="1:19" x14ac:dyDescent="0.25">
      <c r="A50" s="9" t="s">
        <v>81</v>
      </c>
      <c r="B50" s="9" t="s">
        <v>291</v>
      </c>
      <c r="C50" s="4">
        <v>201002057</v>
      </c>
      <c r="D50" s="4" t="s">
        <v>84</v>
      </c>
      <c r="E50" s="4" t="str">
        <f>"040522010"</f>
        <v>040522010</v>
      </c>
      <c r="F50" s="10">
        <v>40234</v>
      </c>
      <c r="G50" s="11">
        <v>9624.11</v>
      </c>
      <c r="H50" s="11">
        <v>9624.11</v>
      </c>
      <c r="I50" s="4" t="s">
        <v>23</v>
      </c>
      <c r="J50" s="4" t="s">
        <v>24</v>
      </c>
      <c r="K50" s="11">
        <v>0</v>
      </c>
      <c r="L50" s="4"/>
      <c r="M50" s="4"/>
      <c r="N50" s="11">
        <v>0</v>
      </c>
      <c r="O50" s="4"/>
      <c r="P50" s="4"/>
      <c r="Q50" s="11">
        <v>0</v>
      </c>
      <c r="R50" s="4"/>
      <c r="S50" s="12"/>
    </row>
    <row r="51" spans="1:19" x14ac:dyDescent="0.25">
      <c r="A51" s="9" t="s">
        <v>81</v>
      </c>
      <c r="B51" s="9" t="s">
        <v>291</v>
      </c>
      <c r="C51" s="4">
        <v>201002083</v>
      </c>
      <c r="D51" s="4" t="s">
        <v>85</v>
      </c>
      <c r="E51" s="4" t="str">
        <f>"041242010"</f>
        <v>041242010</v>
      </c>
      <c r="F51" s="10">
        <v>40234</v>
      </c>
      <c r="G51" s="11">
        <v>100000</v>
      </c>
      <c r="H51" s="11">
        <v>100000</v>
      </c>
      <c r="I51" s="4" t="s">
        <v>23</v>
      </c>
      <c r="J51" s="4" t="s">
        <v>24</v>
      </c>
      <c r="K51" s="11">
        <v>0</v>
      </c>
      <c r="L51" s="4"/>
      <c r="M51" s="4"/>
      <c r="N51" s="11">
        <v>0</v>
      </c>
      <c r="O51" s="4"/>
      <c r="P51" s="4"/>
      <c r="Q51" s="11">
        <v>0</v>
      </c>
      <c r="R51" s="4"/>
      <c r="S51" s="12"/>
    </row>
    <row r="52" spans="1:19" x14ac:dyDescent="0.25">
      <c r="A52" s="9" t="s">
        <v>81</v>
      </c>
      <c r="B52" s="9" t="s">
        <v>291</v>
      </c>
      <c r="C52" s="4">
        <v>201002224</v>
      </c>
      <c r="D52" s="4" t="s">
        <v>86</v>
      </c>
      <c r="E52" s="4" t="str">
        <f>"046082010"</f>
        <v>046082010</v>
      </c>
      <c r="F52" s="10">
        <v>40252</v>
      </c>
      <c r="G52" s="11">
        <v>1750000</v>
      </c>
      <c r="H52" s="11">
        <v>1750000</v>
      </c>
      <c r="I52" s="4" t="s">
        <v>23</v>
      </c>
      <c r="J52" s="4" t="s">
        <v>24</v>
      </c>
      <c r="K52" s="11">
        <v>0</v>
      </c>
      <c r="L52" s="4"/>
      <c r="M52" s="4"/>
      <c r="N52" s="11">
        <v>0</v>
      </c>
      <c r="O52" s="4"/>
      <c r="P52" s="4"/>
      <c r="Q52" s="11">
        <v>0</v>
      </c>
      <c r="R52" s="4"/>
      <c r="S52" s="12"/>
    </row>
    <row r="53" spans="1:19" x14ac:dyDescent="0.25">
      <c r="A53" s="9" t="s">
        <v>87</v>
      </c>
      <c r="B53" s="9" t="s">
        <v>291</v>
      </c>
      <c r="C53" s="4">
        <v>201003652</v>
      </c>
      <c r="D53" s="4"/>
      <c r="E53" s="4" t="str">
        <f>"075602010"</f>
        <v>075602010</v>
      </c>
      <c r="F53" s="10">
        <v>40337</v>
      </c>
      <c r="G53" s="11">
        <v>187041.35</v>
      </c>
      <c r="H53" s="11">
        <v>172954</v>
      </c>
      <c r="I53" s="4" t="s">
        <v>88</v>
      </c>
      <c r="J53" s="4" t="s">
        <v>89</v>
      </c>
      <c r="K53" s="11">
        <v>0</v>
      </c>
      <c r="L53" s="4"/>
      <c r="M53" s="4"/>
      <c r="N53" s="11">
        <v>14087.35</v>
      </c>
      <c r="O53" s="4" t="s">
        <v>88</v>
      </c>
      <c r="P53" s="4" t="s">
        <v>89</v>
      </c>
      <c r="Q53" s="11">
        <v>0</v>
      </c>
      <c r="R53" s="4"/>
      <c r="S53" s="12"/>
    </row>
    <row r="54" spans="1:19" x14ac:dyDescent="0.25">
      <c r="A54" s="9" t="s">
        <v>87</v>
      </c>
      <c r="B54" s="9" t="s">
        <v>291</v>
      </c>
      <c r="C54" s="4">
        <v>201005490</v>
      </c>
      <c r="D54" s="4" t="s">
        <v>90</v>
      </c>
      <c r="E54" s="4" t="str">
        <f>"108952010"</f>
        <v>108952010</v>
      </c>
      <c r="F54" s="10">
        <v>40429</v>
      </c>
      <c r="G54" s="11">
        <v>5000</v>
      </c>
      <c r="H54" s="11">
        <v>5000</v>
      </c>
      <c r="I54" s="4" t="s">
        <v>91</v>
      </c>
      <c r="J54" s="4" t="s">
        <v>92</v>
      </c>
      <c r="K54" s="11">
        <v>0</v>
      </c>
      <c r="L54" s="4"/>
      <c r="M54" s="4"/>
      <c r="N54" s="11">
        <v>0</v>
      </c>
      <c r="O54" s="4"/>
      <c r="P54" s="4"/>
      <c r="Q54" s="11">
        <v>0</v>
      </c>
      <c r="R54" s="4"/>
      <c r="S54" s="12"/>
    </row>
    <row r="55" spans="1:19" x14ac:dyDescent="0.25">
      <c r="A55" s="9" t="s">
        <v>93</v>
      </c>
      <c r="B55" s="9" t="s">
        <v>291</v>
      </c>
      <c r="C55" s="4">
        <v>200905507</v>
      </c>
      <c r="D55" s="4" t="s">
        <v>94</v>
      </c>
      <c r="E55" s="4" t="str">
        <f>"088242009"</f>
        <v>088242009</v>
      </c>
      <c r="F55" s="10">
        <v>40115</v>
      </c>
      <c r="G55" s="11">
        <v>7500</v>
      </c>
      <c r="H55" s="11">
        <v>7500</v>
      </c>
      <c r="I55" s="4" t="s">
        <v>72</v>
      </c>
      <c r="J55" s="4" t="s">
        <v>73</v>
      </c>
      <c r="K55" s="11">
        <v>0</v>
      </c>
      <c r="L55" s="4"/>
      <c r="M55" s="4"/>
      <c r="N55" s="11">
        <v>0</v>
      </c>
      <c r="O55" s="4"/>
      <c r="P55" s="4"/>
      <c r="Q55" s="11">
        <v>0</v>
      </c>
      <c r="R55" s="4"/>
      <c r="S55" s="12"/>
    </row>
    <row r="56" spans="1:19" x14ac:dyDescent="0.25">
      <c r="A56" s="9" t="s">
        <v>93</v>
      </c>
      <c r="B56" s="9" t="s">
        <v>291</v>
      </c>
      <c r="C56" s="4">
        <v>200905873</v>
      </c>
      <c r="D56" s="4"/>
      <c r="E56" s="4" t="str">
        <f>"086482009"</f>
        <v>086482009</v>
      </c>
      <c r="F56" s="10">
        <v>40092</v>
      </c>
      <c r="G56" s="11">
        <v>600</v>
      </c>
      <c r="H56" s="11">
        <v>0</v>
      </c>
      <c r="I56" s="4"/>
      <c r="J56" s="4"/>
      <c r="K56" s="11">
        <v>0</v>
      </c>
      <c r="L56" s="4"/>
      <c r="M56" s="4"/>
      <c r="N56" s="11">
        <v>600</v>
      </c>
      <c r="O56" s="4" t="s">
        <v>56</v>
      </c>
      <c r="P56" s="4" t="s">
        <v>57</v>
      </c>
      <c r="Q56" s="11">
        <v>0</v>
      </c>
      <c r="R56" s="4"/>
      <c r="S56" s="12"/>
    </row>
    <row r="57" spans="1:19" x14ac:dyDescent="0.25">
      <c r="A57" s="9" t="s">
        <v>93</v>
      </c>
      <c r="B57" s="9" t="s">
        <v>291</v>
      </c>
      <c r="C57" s="4">
        <v>201000053</v>
      </c>
      <c r="D57" s="4" t="s">
        <v>95</v>
      </c>
      <c r="E57" s="4" t="str">
        <f>"000862010"</f>
        <v>000862010</v>
      </c>
      <c r="F57" s="10">
        <v>40094</v>
      </c>
      <c r="G57" s="11">
        <v>15000</v>
      </c>
      <c r="H57" s="11">
        <v>15000</v>
      </c>
      <c r="I57" s="4" t="s">
        <v>68</v>
      </c>
      <c r="J57" s="4" t="s">
        <v>69</v>
      </c>
      <c r="K57" s="11">
        <v>0</v>
      </c>
      <c r="L57" s="4"/>
      <c r="M57" s="4"/>
      <c r="N57" s="11">
        <v>0</v>
      </c>
      <c r="O57" s="4"/>
      <c r="P57" s="4"/>
      <c r="Q57" s="11">
        <v>0</v>
      </c>
      <c r="R57" s="4"/>
      <c r="S57" s="12"/>
    </row>
    <row r="58" spans="1:19" x14ac:dyDescent="0.25">
      <c r="A58" s="9" t="s">
        <v>93</v>
      </c>
      <c r="B58" s="9" t="s">
        <v>291</v>
      </c>
      <c r="C58" s="4">
        <v>201000196</v>
      </c>
      <c r="D58" s="4" t="s">
        <v>96</v>
      </c>
      <c r="E58" s="4" t="str">
        <f>"003422010"</f>
        <v>003422010</v>
      </c>
      <c r="F58" s="10">
        <v>40101</v>
      </c>
      <c r="G58" s="11">
        <v>181250</v>
      </c>
      <c r="H58" s="11">
        <v>181250</v>
      </c>
      <c r="I58" s="4" t="s">
        <v>72</v>
      </c>
      <c r="J58" s="4" t="s">
        <v>73</v>
      </c>
      <c r="K58" s="11">
        <v>0</v>
      </c>
      <c r="L58" s="4"/>
      <c r="M58" s="4"/>
      <c r="N58" s="11">
        <v>0</v>
      </c>
      <c r="O58" s="4"/>
      <c r="P58" s="4"/>
      <c r="Q58" s="11">
        <v>0</v>
      </c>
      <c r="R58" s="4"/>
      <c r="S58" s="12"/>
    </row>
    <row r="59" spans="1:19" x14ac:dyDescent="0.25">
      <c r="A59" s="9" t="s">
        <v>93</v>
      </c>
      <c r="B59" s="9" t="s">
        <v>291</v>
      </c>
      <c r="C59" s="4">
        <v>201000196</v>
      </c>
      <c r="D59" s="4" t="s">
        <v>96</v>
      </c>
      <c r="E59" s="4" t="str">
        <f>"003442010"</f>
        <v>003442010</v>
      </c>
      <c r="F59" s="10">
        <v>40101</v>
      </c>
      <c r="G59" s="11">
        <v>356250</v>
      </c>
      <c r="H59" s="11">
        <v>356250</v>
      </c>
      <c r="I59" s="4" t="s">
        <v>72</v>
      </c>
      <c r="J59" s="4" t="s">
        <v>73</v>
      </c>
      <c r="K59" s="11">
        <v>0</v>
      </c>
      <c r="L59" s="4"/>
      <c r="M59" s="4"/>
      <c r="N59" s="11">
        <v>0</v>
      </c>
      <c r="O59" s="4"/>
      <c r="P59" s="4"/>
      <c r="Q59" s="11">
        <v>0</v>
      </c>
      <c r="R59" s="4"/>
      <c r="S59" s="12"/>
    </row>
    <row r="60" spans="1:19" x14ac:dyDescent="0.25">
      <c r="A60" s="9" t="s">
        <v>93</v>
      </c>
      <c r="B60" s="9" t="s">
        <v>291</v>
      </c>
      <c r="C60" s="4">
        <v>201000196</v>
      </c>
      <c r="D60" s="4" t="s">
        <v>96</v>
      </c>
      <c r="E60" s="4" t="str">
        <f>"003462010"</f>
        <v>003462010</v>
      </c>
      <c r="F60" s="10">
        <v>40101</v>
      </c>
      <c r="G60" s="11">
        <v>220000</v>
      </c>
      <c r="H60" s="11">
        <v>220000</v>
      </c>
      <c r="I60" s="4" t="s">
        <v>72</v>
      </c>
      <c r="J60" s="4" t="s">
        <v>73</v>
      </c>
      <c r="K60" s="11">
        <v>0</v>
      </c>
      <c r="L60" s="4"/>
      <c r="M60" s="4"/>
      <c r="N60" s="11">
        <v>0</v>
      </c>
      <c r="O60" s="4"/>
      <c r="P60" s="4"/>
      <c r="Q60" s="11">
        <v>0</v>
      </c>
      <c r="R60" s="4"/>
      <c r="S60" s="12"/>
    </row>
    <row r="61" spans="1:19" x14ac:dyDescent="0.25">
      <c r="A61" s="9" t="s">
        <v>93</v>
      </c>
      <c r="B61" s="9" t="s">
        <v>291</v>
      </c>
      <c r="C61" s="4">
        <v>201000196</v>
      </c>
      <c r="D61" s="4" t="s">
        <v>96</v>
      </c>
      <c r="E61" s="4" t="str">
        <f>"003482010"</f>
        <v>003482010</v>
      </c>
      <c r="F61" s="10">
        <v>40101</v>
      </c>
      <c r="G61" s="11">
        <v>243750</v>
      </c>
      <c r="H61" s="11">
        <v>243750</v>
      </c>
      <c r="I61" s="4" t="s">
        <v>72</v>
      </c>
      <c r="J61" s="4" t="s">
        <v>73</v>
      </c>
      <c r="K61" s="11">
        <v>0</v>
      </c>
      <c r="L61" s="4"/>
      <c r="M61" s="4"/>
      <c r="N61" s="11">
        <v>0</v>
      </c>
      <c r="O61" s="4"/>
      <c r="P61" s="4"/>
      <c r="Q61" s="11">
        <v>0</v>
      </c>
      <c r="R61" s="4"/>
      <c r="S61" s="12"/>
    </row>
    <row r="62" spans="1:19" x14ac:dyDescent="0.25">
      <c r="A62" s="9" t="s">
        <v>93</v>
      </c>
      <c r="B62" s="9" t="s">
        <v>291</v>
      </c>
      <c r="C62" s="4">
        <v>201000196</v>
      </c>
      <c r="D62" s="4" t="s">
        <v>96</v>
      </c>
      <c r="E62" s="4" t="str">
        <f>"003502010"</f>
        <v>003502010</v>
      </c>
      <c r="F62" s="10">
        <v>40101</v>
      </c>
      <c r="G62" s="11">
        <v>260000</v>
      </c>
      <c r="H62" s="11">
        <v>260000</v>
      </c>
      <c r="I62" s="4" t="s">
        <v>72</v>
      </c>
      <c r="J62" s="4" t="s">
        <v>73</v>
      </c>
      <c r="K62" s="11">
        <v>0</v>
      </c>
      <c r="L62" s="4"/>
      <c r="M62" s="4"/>
      <c r="N62" s="11">
        <v>0</v>
      </c>
      <c r="O62" s="4"/>
      <c r="P62" s="4"/>
      <c r="Q62" s="11">
        <v>0</v>
      </c>
      <c r="R62" s="4"/>
      <c r="S62" s="12"/>
    </row>
    <row r="63" spans="1:19" x14ac:dyDescent="0.25">
      <c r="A63" s="9" t="s">
        <v>93</v>
      </c>
      <c r="B63" s="9" t="s">
        <v>291</v>
      </c>
      <c r="C63" s="4">
        <v>201000205</v>
      </c>
      <c r="D63" s="4" t="s">
        <v>97</v>
      </c>
      <c r="E63" s="4" t="str">
        <f>"003742010"</f>
        <v>003742010</v>
      </c>
      <c r="F63" s="10">
        <v>40107</v>
      </c>
      <c r="G63" s="11">
        <v>265000</v>
      </c>
      <c r="H63" s="11">
        <v>265000</v>
      </c>
      <c r="I63" s="4" t="s">
        <v>72</v>
      </c>
      <c r="J63" s="4" t="s">
        <v>73</v>
      </c>
      <c r="K63" s="11">
        <v>0</v>
      </c>
      <c r="L63" s="4"/>
      <c r="M63" s="4"/>
      <c r="N63" s="11">
        <v>0</v>
      </c>
      <c r="O63" s="4"/>
      <c r="P63" s="4"/>
      <c r="Q63" s="11">
        <v>0</v>
      </c>
      <c r="R63" s="4"/>
      <c r="S63" s="12"/>
    </row>
    <row r="64" spans="1:19" x14ac:dyDescent="0.25">
      <c r="A64" s="9" t="s">
        <v>93</v>
      </c>
      <c r="B64" s="9" t="s">
        <v>291</v>
      </c>
      <c r="C64" s="4">
        <v>201000251</v>
      </c>
      <c r="D64" s="4"/>
      <c r="E64" s="4" t="str">
        <f>"005372010"</f>
        <v>005372010</v>
      </c>
      <c r="F64" s="10">
        <v>40109</v>
      </c>
      <c r="G64" s="11">
        <v>509.85</v>
      </c>
      <c r="H64" s="11">
        <v>0</v>
      </c>
      <c r="I64" s="4"/>
      <c r="J64" s="4"/>
      <c r="K64" s="11">
        <v>0</v>
      </c>
      <c r="L64" s="4"/>
      <c r="M64" s="4"/>
      <c r="N64" s="11">
        <v>509.85</v>
      </c>
      <c r="O64" s="4" t="s">
        <v>56</v>
      </c>
      <c r="P64" s="4" t="s">
        <v>57</v>
      </c>
      <c r="Q64" s="11">
        <v>0</v>
      </c>
      <c r="R64" s="4"/>
      <c r="S64" s="12"/>
    </row>
    <row r="65" spans="1:19" x14ac:dyDescent="0.25">
      <c r="A65" s="9" t="s">
        <v>93</v>
      </c>
      <c r="B65" s="9" t="s">
        <v>291</v>
      </c>
      <c r="C65" s="4">
        <v>201000450</v>
      </c>
      <c r="D65" s="4"/>
      <c r="E65" s="4" t="str">
        <f>"010612010"</f>
        <v>010612010</v>
      </c>
      <c r="F65" s="10">
        <v>40126</v>
      </c>
      <c r="G65" s="11">
        <v>440000</v>
      </c>
      <c r="H65" s="11">
        <v>440000</v>
      </c>
      <c r="I65" s="4" t="s">
        <v>98</v>
      </c>
      <c r="J65" s="4" t="s">
        <v>99</v>
      </c>
      <c r="K65" s="11">
        <v>0</v>
      </c>
      <c r="L65" s="4"/>
      <c r="M65" s="4"/>
      <c r="N65" s="11">
        <v>0</v>
      </c>
      <c r="O65" s="4"/>
      <c r="P65" s="4"/>
      <c r="Q65" s="11">
        <v>0</v>
      </c>
      <c r="R65" s="4"/>
      <c r="S65" s="12"/>
    </row>
    <row r="66" spans="1:19" x14ac:dyDescent="0.25">
      <c r="A66" s="9" t="s">
        <v>93</v>
      </c>
      <c r="B66" s="9" t="s">
        <v>291</v>
      </c>
      <c r="C66" s="4">
        <v>201000479</v>
      </c>
      <c r="D66" s="4" t="s">
        <v>100</v>
      </c>
      <c r="E66" s="4" t="str">
        <f>"008452010"</f>
        <v>008452010</v>
      </c>
      <c r="F66" s="10">
        <v>40120</v>
      </c>
      <c r="G66" s="11">
        <v>30000</v>
      </c>
      <c r="H66" s="11">
        <v>30000</v>
      </c>
      <c r="I66" s="4" t="s">
        <v>72</v>
      </c>
      <c r="J66" s="4" t="s">
        <v>73</v>
      </c>
      <c r="K66" s="11">
        <v>0</v>
      </c>
      <c r="L66" s="4"/>
      <c r="M66" s="4"/>
      <c r="N66" s="11">
        <v>0</v>
      </c>
      <c r="O66" s="4"/>
      <c r="P66" s="4"/>
      <c r="Q66" s="11">
        <v>0</v>
      </c>
      <c r="R66" s="4"/>
      <c r="S66" s="12"/>
    </row>
    <row r="67" spans="1:19" x14ac:dyDescent="0.25">
      <c r="A67" s="9" t="s">
        <v>93</v>
      </c>
      <c r="B67" s="9" t="s">
        <v>291</v>
      </c>
      <c r="C67" s="4">
        <v>201000867</v>
      </c>
      <c r="D67" s="4" t="s">
        <v>101</v>
      </c>
      <c r="E67" s="4" t="str">
        <f>"018312010"</f>
        <v>018312010</v>
      </c>
      <c r="F67" s="10">
        <v>40151</v>
      </c>
      <c r="G67" s="11">
        <v>2501</v>
      </c>
      <c r="H67" s="11">
        <v>2501</v>
      </c>
      <c r="I67" s="4" t="s">
        <v>38</v>
      </c>
      <c r="J67" s="4" t="s">
        <v>39</v>
      </c>
      <c r="K67" s="11">
        <v>0</v>
      </c>
      <c r="L67" s="4"/>
      <c r="M67" s="4"/>
      <c r="N67" s="11">
        <v>0</v>
      </c>
      <c r="O67" s="4"/>
      <c r="P67" s="4"/>
      <c r="Q67" s="11">
        <v>0</v>
      </c>
      <c r="R67" s="4"/>
      <c r="S67" s="12"/>
    </row>
    <row r="68" spans="1:19" x14ac:dyDescent="0.25">
      <c r="A68" s="9" t="s">
        <v>93</v>
      </c>
      <c r="B68" s="9" t="s">
        <v>291</v>
      </c>
      <c r="C68" s="4">
        <v>201000941</v>
      </c>
      <c r="D68" s="4" t="s">
        <v>102</v>
      </c>
      <c r="E68" s="4" t="str">
        <f>"018002010"</f>
        <v>018002010</v>
      </c>
      <c r="F68" s="10">
        <v>40151</v>
      </c>
      <c r="G68" s="11">
        <v>240000</v>
      </c>
      <c r="H68" s="11">
        <v>240000</v>
      </c>
      <c r="I68" s="4" t="s">
        <v>72</v>
      </c>
      <c r="J68" s="4" t="s">
        <v>73</v>
      </c>
      <c r="K68" s="11">
        <v>0</v>
      </c>
      <c r="L68" s="4"/>
      <c r="M68" s="4"/>
      <c r="N68" s="11">
        <v>0</v>
      </c>
      <c r="O68" s="4"/>
      <c r="P68" s="4"/>
      <c r="Q68" s="11">
        <v>0</v>
      </c>
      <c r="R68" s="4"/>
      <c r="S68" s="12"/>
    </row>
    <row r="69" spans="1:19" x14ac:dyDescent="0.25">
      <c r="A69" s="9" t="s">
        <v>93</v>
      </c>
      <c r="B69" s="9" t="s">
        <v>291</v>
      </c>
      <c r="C69" s="4">
        <v>201001020</v>
      </c>
      <c r="D69" s="4"/>
      <c r="E69" s="4" t="str">
        <f>"024532010"</f>
        <v>024532010</v>
      </c>
      <c r="F69" s="10">
        <v>40176</v>
      </c>
      <c r="G69" s="11">
        <v>687500</v>
      </c>
      <c r="H69" s="11">
        <v>687500</v>
      </c>
      <c r="I69" s="4" t="s">
        <v>72</v>
      </c>
      <c r="J69" s="4" t="s">
        <v>73</v>
      </c>
      <c r="K69" s="11">
        <v>0</v>
      </c>
      <c r="L69" s="4"/>
      <c r="M69" s="4"/>
      <c r="N69" s="11">
        <v>0</v>
      </c>
      <c r="O69" s="4"/>
      <c r="P69" s="4"/>
      <c r="Q69" s="11">
        <v>0</v>
      </c>
      <c r="R69" s="4"/>
      <c r="S69" s="12"/>
    </row>
    <row r="70" spans="1:19" x14ac:dyDescent="0.25">
      <c r="A70" s="9" t="s">
        <v>93</v>
      </c>
      <c r="B70" s="9" t="s">
        <v>291</v>
      </c>
      <c r="C70" s="4">
        <v>201001176</v>
      </c>
      <c r="D70" s="4" t="s">
        <v>103</v>
      </c>
      <c r="E70" s="4" t="str">
        <f>"023072010"</f>
        <v>023072010</v>
      </c>
      <c r="F70" s="10">
        <v>40165</v>
      </c>
      <c r="G70" s="11">
        <v>14500</v>
      </c>
      <c r="H70" s="11">
        <v>14500</v>
      </c>
      <c r="I70" s="4" t="s">
        <v>104</v>
      </c>
      <c r="J70" s="4" t="s">
        <v>105</v>
      </c>
      <c r="K70" s="11">
        <v>0</v>
      </c>
      <c r="L70" s="4"/>
      <c r="M70" s="4"/>
      <c r="N70" s="11">
        <v>0</v>
      </c>
      <c r="O70" s="4"/>
      <c r="P70" s="4"/>
      <c r="Q70" s="11">
        <v>0</v>
      </c>
      <c r="R70" s="4"/>
      <c r="S70" s="12"/>
    </row>
    <row r="71" spans="1:19" x14ac:dyDescent="0.25">
      <c r="A71" s="9" t="s">
        <v>93</v>
      </c>
      <c r="B71" s="9" t="s">
        <v>291</v>
      </c>
      <c r="C71" s="4">
        <v>201001223</v>
      </c>
      <c r="D71" s="4" t="s">
        <v>106</v>
      </c>
      <c r="E71" s="4" t="str">
        <f>"023912010"</f>
        <v>023912010</v>
      </c>
      <c r="F71" s="10">
        <v>40170</v>
      </c>
      <c r="G71" s="11">
        <v>15000</v>
      </c>
      <c r="H71" s="11">
        <v>15000</v>
      </c>
      <c r="I71" s="4" t="s">
        <v>30</v>
      </c>
      <c r="J71" s="4" t="s">
        <v>31</v>
      </c>
      <c r="K71" s="11">
        <v>0</v>
      </c>
      <c r="L71" s="4"/>
      <c r="M71" s="4"/>
      <c r="N71" s="11">
        <v>0</v>
      </c>
      <c r="O71" s="4"/>
      <c r="P71" s="4"/>
      <c r="Q71" s="11">
        <v>0</v>
      </c>
      <c r="R71" s="4"/>
      <c r="S71" s="12"/>
    </row>
    <row r="72" spans="1:19" x14ac:dyDescent="0.25">
      <c r="A72" s="9" t="s">
        <v>93</v>
      </c>
      <c r="B72" s="9" t="s">
        <v>291</v>
      </c>
      <c r="C72" s="4">
        <v>201001418</v>
      </c>
      <c r="D72" s="4" t="s">
        <v>107</v>
      </c>
      <c r="E72" s="4" t="str">
        <f>"027602010"</f>
        <v>027602010</v>
      </c>
      <c r="F72" s="10">
        <v>40185</v>
      </c>
      <c r="G72" s="11">
        <v>12000</v>
      </c>
      <c r="H72" s="11">
        <v>12000</v>
      </c>
      <c r="I72" s="4" t="s">
        <v>68</v>
      </c>
      <c r="J72" s="4" t="s">
        <v>69</v>
      </c>
      <c r="K72" s="11">
        <v>0</v>
      </c>
      <c r="L72" s="4"/>
      <c r="M72" s="4"/>
      <c r="N72" s="11">
        <v>0</v>
      </c>
      <c r="O72" s="4"/>
      <c r="P72" s="4"/>
      <c r="Q72" s="11">
        <v>0</v>
      </c>
      <c r="R72" s="4"/>
      <c r="S72" s="12"/>
    </row>
    <row r="73" spans="1:19" x14ac:dyDescent="0.25">
      <c r="A73" s="9" t="s">
        <v>93</v>
      </c>
      <c r="B73" s="9" t="s">
        <v>291</v>
      </c>
      <c r="C73" s="4">
        <v>201001723</v>
      </c>
      <c r="D73" s="4" t="s">
        <v>108</v>
      </c>
      <c r="E73" s="4" t="str">
        <f>"033682010"</f>
        <v>033682010</v>
      </c>
      <c r="F73" s="10">
        <v>40204</v>
      </c>
      <c r="G73" s="11">
        <v>500000</v>
      </c>
      <c r="H73" s="11">
        <v>500000</v>
      </c>
      <c r="I73" s="4" t="s">
        <v>72</v>
      </c>
      <c r="J73" s="4" t="s">
        <v>73</v>
      </c>
      <c r="K73" s="11">
        <v>0</v>
      </c>
      <c r="L73" s="4"/>
      <c r="M73" s="4"/>
      <c r="N73" s="11">
        <v>0</v>
      </c>
      <c r="O73" s="4"/>
      <c r="P73" s="4"/>
      <c r="Q73" s="11">
        <v>0</v>
      </c>
      <c r="R73" s="4"/>
      <c r="S73" s="12"/>
    </row>
    <row r="74" spans="1:19" x14ac:dyDescent="0.25">
      <c r="A74" s="9" t="s">
        <v>93</v>
      </c>
      <c r="B74" s="9" t="s">
        <v>291</v>
      </c>
      <c r="C74" s="4">
        <v>201001735</v>
      </c>
      <c r="D74" s="4"/>
      <c r="E74" s="4" t="str">
        <f>"036722010"</f>
        <v>036722010</v>
      </c>
      <c r="F74" s="10">
        <v>40213</v>
      </c>
      <c r="G74" s="11">
        <v>120000</v>
      </c>
      <c r="H74" s="11">
        <v>120000</v>
      </c>
      <c r="I74" s="4" t="s">
        <v>30</v>
      </c>
      <c r="J74" s="4" t="s">
        <v>31</v>
      </c>
      <c r="K74" s="11">
        <v>0</v>
      </c>
      <c r="L74" s="4"/>
      <c r="M74" s="4"/>
      <c r="N74" s="11">
        <v>0</v>
      </c>
      <c r="O74" s="4"/>
      <c r="P74" s="4"/>
      <c r="Q74" s="11">
        <v>0</v>
      </c>
      <c r="R74" s="4"/>
      <c r="S74" s="12"/>
    </row>
    <row r="75" spans="1:19" x14ac:dyDescent="0.25">
      <c r="A75" s="9" t="s">
        <v>93</v>
      </c>
      <c r="B75" s="9" t="s">
        <v>291</v>
      </c>
      <c r="C75" s="4">
        <v>201001752</v>
      </c>
      <c r="D75" s="4" t="s">
        <v>109</v>
      </c>
      <c r="E75" s="4" t="str">
        <f>"034082010"</f>
        <v>034082010</v>
      </c>
      <c r="F75" s="10">
        <v>40205</v>
      </c>
      <c r="G75" s="11">
        <v>2000</v>
      </c>
      <c r="H75" s="11">
        <v>2000</v>
      </c>
      <c r="I75" s="4" t="s">
        <v>72</v>
      </c>
      <c r="J75" s="4" t="s">
        <v>73</v>
      </c>
      <c r="K75" s="11">
        <v>0</v>
      </c>
      <c r="L75" s="4"/>
      <c r="M75" s="4"/>
      <c r="N75" s="11">
        <v>0</v>
      </c>
      <c r="O75" s="4"/>
      <c r="P75" s="4"/>
      <c r="Q75" s="11">
        <v>0</v>
      </c>
      <c r="R75" s="4"/>
      <c r="S75" s="12"/>
    </row>
    <row r="76" spans="1:19" x14ac:dyDescent="0.25">
      <c r="A76" s="9" t="s">
        <v>93</v>
      </c>
      <c r="B76" s="9" t="s">
        <v>291</v>
      </c>
      <c r="C76" s="4">
        <v>201002059</v>
      </c>
      <c r="D76" s="4" t="s">
        <v>110</v>
      </c>
      <c r="E76" s="4" t="str">
        <f>"040502010"</f>
        <v>040502010</v>
      </c>
      <c r="F76" s="10">
        <v>40233</v>
      </c>
      <c r="G76" s="11">
        <v>20782.2</v>
      </c>
      <c r="H76" s="11">
        <v>20782.2</v>
      </c>
      <c r="I76" s="4" t="s">
        <v>23</v>
      </c>
      <c r="J76" s="4" t="s">
        <v>24</v>
      </c>
      <c r="K76" s="11">
        <v>0</v>
      </c>
      <c r="L76" s="4"/>
      <c r="M76" s="4"/>
      <c r="N76" s="11">
        <v>0</v>
      </c>
      <c r="O76" s="4"/>
      <c r="P76" s="4"/>
      <c r="Q76" s="11">
        <v>0</v>
      </c>
      <c r="R76" s="4"/>
      <c r="S76" s="12"/>
    </row>
    <row r="77" spans="1:19" x14ac:dyDescent="0.25">
      <c r="A77" s="9" t="s">
        <v>93</v>
      </c>
      <c r="B77" s="9" t="s">
        <v>291</v>
      </c>
      <c r="C77" s="4">
        <v>201002104</v>
      </c>
      <c r="D77" s="4"/>
      <c r="E77" s="4" t="str">
        <f>"040842010"</f>
        <v>040842010</v>
      </c>
      <c r="F77" s="10">
        <v>40234</v>
      </c>
      <c r="G77" s="11">
        <v>850</v>
      </c>
      <c r="H77" s="11">
        <v>850</v>
      </c>
      <c r="I77" s="4" t="s">
        <v>38</v>
      </c>
      <c r="J77" s="4" t="s">
        <v>39</v>
      </c>
      <c r="K77" s="11">
        <v>0</v>
      </c>
      <c r="L77" s="4"/>
      <c r="M77" s="4"/>
      <c r="N77" s="11">
        <v>0</v>
      </c>
      <c r="O77" s="4"/>
      <c r="P77" s="4"/>
      <c r="Q77" s="11">
        <v>0</v>
      </c>
      <c r="R77" s="4"/>
      <c r="S77" s="12"/>
    </row>
    <row r="78" spans="1:19" x14ac:dyDescent="0.25">
      <c r="A78" s="9" t="s">
        <v>93</v>
      </c>
      <c r="B78" s="9" t="s">
        <v>291</v>
      </c>
      <c r="C78" s="4">
        <v>201003040</v>
      </c>
      <c r="D78" s="4" t="s">
        <v>111</v>
      </c>
      <c r="E78" s="4" t="str">
        <f>"065482010"</f>
        <v>065482010</v>
      </c>
      <c r="F78" s="10">
        <v>40304</v>
      </c>
      <c r="G78" s="11">
        <v>40000</v>
      </c>
      <c r="H78" s="11">
        <v>40000</v>
      </c>
      <c r="I78" s="4" t="s">
        <v>38</v>
      </c>
      <c r="J78" s="4" t="s">
        <v>39</v>
      </c>
      <c r="K78" s="11">
        <v>0</v>
      </c>
      <c r="L78" s="4"/>
      <c r="M78" s="4"/>
      <c r="N78" s="11">
        <v>0</v>
      </c>
      <c r="O78" s="4"/>
      <c r="P78" s="4"/>
      <c r="Q78" s="11">
        <v>0</v>
      </c>
      <c r="R78" s="4"/>
      <c r="S78" s="12"/>
    </row>
    <row r="79" spans="1:19" x14ac:dyDescent="0.25">
      <c r="A79" s="9" t="s">
        <v>93</v>
      </c>
      <c r="B79" s="9" t="s">
        <v>291</v>
      </c>
      <c r="C79" s="4">
        <v>201003043</v>
      </c>
      <c r="D79" s="4" t="s">
        <v>112</v>
      </c>
      <c r="E79" s="4" t="str">
        <f>"059962010"</f>
        <v>059962010</v>
      </c>
      <c r="F79" s="10">
        <v>40290</v>
      </c>
      <c r="G79" s="11">
        <v>6884.31</v>
      </c>
      <c r="H79" s="11">
        <v>6884.31</v>
      </c>
      <c r="I79" s="4" t="s">
        <v>72</v>
      </c>
      <c r="J79" s="4" t="s">
        <v>73</v>
      </c>
      <c r="K79" s="11">
        <v>0</v>
      </c>
      <c r="L79" s="4"/>
      <c r="M79" s="4"/>
      <c r="N79" s="11">
        <v>0</v>
      </c>
      <c r="O79" s="4"/>
      <c r="P79" s="4"/>
      <c r="Q79" s="11">
        <v>0</v>
      </c>
      <c r="R79" s="4"/>
      <c r="S79" s="12"/>
    </row>
    <row r="80" spans="1:19" x14ac:dyDescent="0.25">
      <c r="A80" s="9" t="s">
        <v>93</v>
      </c>
      <c r="B80" s="9" t="s">
        <v>291</v>
      </c>
      <c r="C80" s="4">
        <v>201003043</v>
      </c>
      <c r="D80" s="4" t="s">
        <v>112</v>
      </c>
      <c r="E80" s="4" t="str">
        <f>"059982010"</f>
        <v>059982010</v>
      </c>
      <c r="F80" s="10">
        <v>40290</v>
      </c>
      <c r="G80" s="11">
        <v>60649.01</v>
      </c>
      <c r="H80" s="11">
        <v>60649.01</v>
      </c>
      <c r="I80" s="4" t="s">
        <v>72</v>
      </c>
      <c r="J80" s="4" t="s">
        <v>73</v>
      </c>
      <c r="K80" s="11">
        <v>0</v>
      </c>
      <c r="L80" s="4"/>
      <c r="M80" s="4"/>
      <c r="N80" s="11">
        <v>0</v>
      </c>
      <c r="O80" s="4"/>
      <c r="P80" s="4"/>
      <c r="Q80" s="11">
        <v>0</v>
      </c>
      <c r="R80" s="4"/>
      <c r="S80" s="12"/>
    </row>
    <row r="81" spans="1:19" x14ac:dyDescent="0.25">
      <c r="A81" s="9" t="s">
        <v>93</v>
      </c>
      <c r="B81" s="9" t="s">
        <v>291</v>
      </c>
      <c r="C81" s="4">
        <v>201003043</v>
      </c>
      <c r="D81" s="4" t="s">
        <v>112</v>
      </c>
      <c r="E81" s="4" t="str">
        <f>"060002010"</f>
        <v>060002010</v>
      </c>
      <c r="F81" s="10">
        <v>40290</v>
      </c>
      <c r="G81" s="11">
        <v>132466.68</v>
      </c>
      <c r="H81" s="11">
        <v>132466.68</v>
      </c>
      <c r="I81" s="4" t="s">
        <v>72</v>
      </c>
      <c r="J81" s="4" t="s">
        <v>73</v>
      </c>
      <c r="K81" s="11">
        <v>0</v>
      </c>
      <c r="L81" s="4"/>
      <c r="M81" s="4"/>
      <c r="N81" s="11">
        <v>0</v>
      </c>
      <c r="O81" s="4"/>
      <c r="P81" s="4"/>
      <c r="Q81" s="11">
        <v>0</v>
      </c>
      <c r="R81" s="4"/>
      <c r="S81" s="12"/>
    </row>
    <row r="82" spans="1:19" x14ac:dyDescent="0.25">
      <c r="A82" s="9" t="s">
        <v>93</v>
      </c>
      <c r="B82" s="9" t="s">
        <v>291</v>
      </c>
      <c r="C82" s="4">
        <v>201003079</v>
      </c>
      <c r="D82" s="4"/>
      <c r="E82" s="4" t="str">
        <f>"061422010"</f>
        <v>061422010</v>
      </c>
      <c r="F82" s="10">
        <v>40291</v>
      </c>
      <c r="G82" s="11">
        <v>10000</v>
      </c>
      <c r="H82" s="11">
        <v>10000</v>
      </c>
      <c r="I82" s="4" t="s">
        <v>68</v>
      </c>
      <c r="J82" s="4" t="s">
        <v>69</v>
      </c>
      <c r="K82" s="11">
        <v>0</v>
      </c>
      <c r="L82" s="4"/>
      <c r="M82" s="4"/>
      <c r="N82" s="11">
        <v>0</v>
      </c>
      <c r="O82" s="4"/>
      <c r="P82" s="4"/>
      <c r="Q82" s="11">
        <v>0</v>
      </c>
      <c r="R82" s="4"/>
      <c r="S82" s="12"/>
    </row>
    <row r="83" spans="1:19" x14ac:dyDescent="0.25">
      <c r="A83" s="9" t="s">
        <v>93</v>
      </c>
      <c r="B83" s="9" t="s">
        <v>291</v>
      </c>
      <c r="C83" s="4">
        <v>201003314</v>
      </c>
      <c r="D83" s="4"/>
      <c r="E83" s="4" t="str">
        <f>"068042010"</f>
        <v>068042010</v>
      </c>
      <c r="F83" s="10">
        <v>40316</v>
      </c>
      <c r="G83" s="11">
        <v>4000</v>
      </c>
      <c r="H83" s="11">
        <v>4000</v>
      </c>
      <c r="I83" s="4" t="s">
        <v>72</v>
      </c>
      <c r="J83" s="4" t="s">
        <v>73</v>
      </c>
      <c r="K83" s="11">
        <v>0</v>
      </c>
      <c r="L83" s="4"/>
      <c r="M83" s="4"/>
      <c r="N83" s="11">
        <v>0</v>
      </c>
      <c r="O83" s="4"/>
      <c r="P83" s="4"/>
      <c r="Q83" s="11">
        <v>0</v>
      </c>
      <c r="R83" s="4"/>
      <c r="S83" s="12"/>
    </row>
    <row r="84" spans="1:19" x14ac:dyDescent="0.25">
      <c r="A84" s="9" t="s">
        <v>93</v>
      </c>
      <c r="B84" s="9" t="s">
        <v>291</v>
      </c>
      <c r="C84" s="4">
        <v>201003508</v>
      </c>
      <c r="D84" s="4" t="s">
        <v>113</v>
      </c>
      <c r="E84" s="4" t="str">
        <f>"069482010"</f>
        <v>069482010</v>
      </c>
      <c r="F84" s="10">
        <v>40312</v>
      </c>
      <c r="G84" s="11">
        <v>29057.96</v>
      </c>
      <c r="H84" s="11">
        <v>29057.96</v>
      </c>
      <c r="I84" s="4" t="s">
        <v>30</v>
      </c>
      <c r="J84" s="4" t="s">
        <v>31</v>
      </c>
      <c r="K84" s="11">
        <v>0</v>
      </c>
      <c r="L84" s="4"/>
      <c r="M84" s="4"/>
      <c r="N84" s="11">
        <v>0</v>
      </c>
      <c r="O84" s="4"/>
      <c r="P84" s="4"/>
      <c r="Q84" s="11">
        <v>0</v>
      </c>
      <c r="R84" s="4"/>
      <c r="S84" s="12"/>
    </row>
    <row r="85" spans="1:19" x14ac:dyDescent="0.25">
      <c r="A85" s="9" t="s">
        <v>93</v>
      </c>
      <c r="B85" s="9" t="s">
        <v>291</v>
      </c>
      <c r="C85" s="4">
        <v>201003553</v>
      </c>
      <c r="D85" s="4"/>
      <c r="E85" s="4" t="str">
        <f>"073272010"</f>
        <v>073272010</v>
      </c>
      <c r="F85" s="10">
        <v>40324</v>
      </c>
      <c r="G85" s="11">
        <v>4449</v>
      </c>
      <c r="H85" s="11">
        <v>4449</v>
      </c>
      <c r="I85" s="4" t="s">
        <v>38</v>
      </c>
      <c r="J85" s="4" t="s">
        <v>39</v>
      </c>
      <c r="K85" s="11">
        <v>0</v>
      </c>
      <c r="L85" s="4"/>
      <c r="M85" s="4"/>
      <c r="N85" s="11">
        <v>0</v>
      </c>
      <c r="O85" s="4"/>
      <c r="P85" s="4"/>
      <c r="Q85" s="11">
        <v>0</v>
      </c>
      <c r="R85" s="4"/>
      <c r="S85" s="12"/>
    </row>
    <row r="86" spans="1:19" x14ac:dyDescent="0.25">
      <c r="A86" s="9" t="s">
        <v>93</v>
      </c>
      <c r="B86" s="9" t="s">
        <v>291</v>
      </c>
      <c r="C86" s="4">
        <v>201003553</v>
      </c>
      <c r="D86" s="4"/>
      <c r="E86" s="4" t="str">
        <f>"073292010"</f>
        <v>073292010</v>
      </c>
      <c r="F86" s="10">
        <v>40324</v>
      </c>
      <c r="G86" s="11">
        <v>30551</v>
      </c>
      <c r="H86" s="11">
        <v>30551</v>
      </c>
      <c r="I86" s="4" t="s">
        <v>38</v>
      </c>
      <c r="J86" s="4" t="s">
        <v>39</v>
      </c>
      <c r="K86" s="11">
        <v>0</v>
      </c>
      <c r="L86" s="4"/>
      <c r="M86" s="4"/>
      <c r="N86" s="11">
        <v>0</v>
      </c>
      <c r="O86" s="4"/>
      <c r="P86" s="4"/>
      <c r="Q86" s="11">
        <v>0</v>
      </c>
      <c r="R86" s="4"/>
      <c r="S86" s="12"/>
    </row>
    <row r="87" spans="1:19" x14ac:dyDescent="0.25">
      <c r="A87" s="9" t="s">
        <v>93</v>
      </c>
      <c r="B87" s="9" t="s">
        <v>291</v>
      </c>
      <c r="C87" s="4">
        <v>201003714</v>
      </c>
      <c r="D87" s="4" t="s">
        <v>114</v>
      </c>
      <c r="E87" s="4" t="str">
        <f>"073862010"</f>
        <v>073862010</v>
      </c>
      <c r="F87" s="10">
        <v>40332</v>
      </c>
      <c r="G87" s="11">
        <v>20000</v>
      </c>
      <c r="H87" s="11">
        <v>20000</v>
      </c>
      <c r="I87" s="4" t="s">
        <v>30</v>
      </c>
      <c r="J87" s="4" t="s">
        <v>31</v>
      </c>
      <c r="K87" s="11">
        <v>0</v>
      </c>
      <c r="L87" s="4"/>
      <c r="M87" s="4"/>
      <c r="N87" s="11">
        <v>0</v>
      </c>
      <c r="O87" s="4"/>
      <c r="P87" s="4"/>
      <c r="Q87" s="11">
        <v>0</v>
      </c>
      <c r="R87" s="4"/>
      <c r="S87" s="12"/>
    </row>
    <row r="88" spans="1:19" x14ac:dyDescent="0.25">
      <c r="A88" s="9" t="s">
        <v>93</v>
      </c>
      <c r="B88" s="9" t="s">
        <v>291</v>
      </c>
      <c r="C88" s="4">
        <v>201003736</v>
      </c>
      <c r="D88" s="4"/>
      <c r="E88" s="4" t="str">
        <f>"075362010"</f>
        <v>075362010</v>
      </c>
      <c r="F88" s="10">
        <v>40332</v>
      </c>
      <c r="G88" s="11">
        <v>9850</v>
      </c>
      <c r="H88" s="11">
        <v>9850</v>
      </c>
      <c r="I88" s="4" t="s">
        <v>38</v>
      </c>
      <c r="J88" s="4" t="s">
        <v>39</v>
      </c>
      <c r="K88" s="11">
        <v>0</v>
      </c>
      <c r="L88" s="4"/>
      <c r="M88" s="4"/>
      <c r="N88" s="11">
        <v>0</v>
      </c>
      <c r="O88" s="4"/>
      <c r="P88" s="4"/>
      <c r="Q88" s="11">
        <v>0</v>
      </c>
      <c r="R88" s="4"/>
      <c r="S88" s="12"/>
    </row>
    <row r="89" spans="1:19" x14ac:dyDescent="0.25">
      <c r="A89" s="9" t="s">
        <v>93</v>
      </c>
      <c r="B89" s="9" t="s">
        <v>291</v>
      </c>
      <c r="C89" s="4">
        <v>201004006</v>
      </c>
      <c r="D89" s="4"/>
      <c r="E89" s="4" t="str">
        <f>"079642010"</f>
        <v>079642010</v>
      </c>
      <c r="F89" s="10">
        <v>40346</v>
      </c>
      <c r="G89" s="11">
        <v>1750</v>
      </c>
      <c r="H89" s="11">
        <v>1750</v>
      </c>
      <c r="I89" s="4" t="s">
        <v>72</v>
      </c>
      <c r="J89" s="4" t="s">
        <v>73</v>
      </c>
      <c r="K89" s="11">
        <v>0</v>
      </c>
      <c r="L89" s="4"/>
      <c r="M89" s="4"/>
      <c r="N89" s="11">
        <v>0</v>
      </c>
      <c r="O89" s="4"/>
      <c r="P89" s="4"/>
      <c r="Q89" s="11">
        <v>0</v>
      </c>
      <c r="R89" s="4"/>
      <c r="S89" s="12"/>
    </row>
    <row r="90" spans="1:19" x14ac:dyDescent="0.25">
      <c r="A90" s="9" t="s">
        <v>93</v>
      </c>
      <c r="B90" s="9" t="s">
        <v>291</v>
      </c>
      <c r="C90" s="4">
        <v>201004028</v>
      </c>
      <c r="D90" s="4"/>
      <c r="E90" s="4" t="str">
        <f>"080942010"</f>
        <v>080942010</v>
      </c>
      <c r="F90" s="10">
        <v>40346</v>
      </c>
      <c r="G90" s="11">
        <v>7000</v>
      </c>
      <c r="H90" s="11">
        <v>7000</v>
      </c>
      <c r="I90" s="4" t="s">
        <v>38</v>
      </c>
      <c r="J90" s="4" t="s">
        <v>39</v>
      </c>
      <c r="K90" s="11">
        <v>0</v>
      </c>
      <c r="L90" s="4"/>
      <c r="M90" s="4"/>
      <c r="N90" s="11">
        <v>0</v>
      </c>
      <c r="O90" s="4"/>
      <c r="P90" s="4"/>
      <c r="Q90" s="11">
        <v>0</v>
      </c>
      <c r="R90" s="4"/>
      <c r="S90" s="12"/>
    </row>
    <row r="91" spans="1:19" x14ac:dyDescent="0.25">
      <c r="A91" s="9" t="s">
        <v>93</v>
      </c>
      <c r="B91" s="9" t="s">
        <v>291</v>
      </c>
      <c r="C91" s="4">
        <v>201004375</v>
      </c>
      <c r="D91" s="4" t="s">
        <v>115</v>
      </c>
      <c r="E91" s="4" t="str">
        <f>"094842010"</f>
        <v>094842010</v>
      </c>
      <c r="F91" s="10">
        <v>40381</v>
      </c>
      <c r="G91" s="11">
        <v>620000</v>
      </c>
      <c r="H91" s="11">
        <v>620000</v>
      </c>
      <c r="I91" s="4" t="s">
        <v>30</v>
      </c>
      <c r="J91" s="4" t="s">
        <v>31</v>
      </c>
      <c r="K91" s="11">
        <v>0</v>
      </c>
      <c r="L91" s="4"/>
      <c r="M91" s="4"/>
      <c r="N91" s="11">
        <v>0</v>
      </c>
      <c r="O91" s="4"/>
      <c r="P91" s="4"/>
      <c r="Q91" s="11">
        <v>0</v>
      </c>
      <c r="R91" s="4"/>
      <c r="S91" s="12"/>
    </row>
    <row r="92" spans="1:19" x14ac:dyDescent="0.25">
      <c r="A92" s="9" t="s">
        <v>93</v>
      </c>
      <c r="B92" s="9" t="s">
        <v>291</v>
      </c>
      <c r="C92" s="4">
        <v>201004386</v>
      </c>
      <c r="D92" s="4" t="s">
        <v>116</v>
      </c>
      <c r="E92" s="4" t="str">
        <f>"093802010"</f>
        <v>093802010</v>
      </c>
      <c r="F92" s="10">
        <v>40375</v>
      </c>
      <c r="G92" s="11">
        <v>2064</v>
      </c>
      <c r="H92" s="11">
        <v>2064</v>
      </c>
      <c r="I92" s="4" t="s">
        <v>38</v>
      </c>
      <c r="J92" s="4" t="s">
        <v>39</v>
      </c>
      <c r="K92" s="11">
        <v>0</v>
      </c>
      <c r="L92" s="4"/>
      <c r="M92" s="4"/>
      <c r="N92" s="11">
        <v>0</v>
      </c>
      <c r="O92" s="4"/>
      <c r="P92" s="4"/>
      <c r="Q92" s="11">
        <v>0</v>
      </c>
      <c r="R92" s="4"/>
      <c r="S92" s="12"/>
    </row>
    <row r="93" spans="1:19" x14ac:dyDescent="0.25">
      <c r="A93" s="9" t="s">
        <v>93</v>
      </c>
      <c r="B93" s="9" t="s">
        <v>291</v>
      </c>
      <c r="C93" s="4">
        <v>201004481</v>
      </c>
      <c r="D93" s="4" t="s">
        <v>117</v>
      </c>
      <c r="E93" s="4" t="str">
        <f>"097792010"</f>
        <v>097792010</v>
      </c>
      <c r="F93" s="10">
        <v>40394</v>
      </c>
      <c r="G93" s="11">
        <v>4516</v>
      </c>
      <c r="H93" s="11">
        <v>4516</v>
      </c>
      <c r="I93" s="4" t="s">
        <v>38</v>
      </c>
      <c r="J93" s="4" t="s">
        <v>39</v>
      </c>
      <c r="K93" s="11">
        <v>0</v>
      </c>
      <c r="L93" s="4"/>
      <c r="M93" s="4"/>
      <c r="N93" s="11">
        <v>0</v>
      </c>
      <c r="O93" s="4"/>
      <c r="P93" s="4"/>
      <c r="Q93" s="11">
        <v>0</v>
      </c>
      <c r="R93" s="4"/>
      <c r="S93" s="12"/>
    </row>
    <row r="94" spans="1:19" x14ac:dyDescent="0.25">
      <c r="A94" s="9" t="s">
        <v>93</v>
      </c>
      <c r="B94" s="9" t="s">
        <v>291</v>
      </c>
      <c r="C94" s="4">
        <v>201004674</v>
      </c>
      <c r="D94" s="4"/>
      <c r="E94" s="4" t="str">
        <f>"095242010"</f>
        <v>095242010</v>
      </c>
      <c r="F94" s="10">
        <v>40382</v>
      </c>
      <c r="G94" s="11">
        <v>1150</v>
      </c>
      <c r="H94" s="11">
        <v>1150</v>
      </c>
      <c r="I94" s="4" t="s">
        <v>38</v>
      </c>
      <c r="J94" s="4" t="s">
        <v>39</v>
      </c>
      <c r="K94" s="11">
        <v>0</v>
      </c>
      <c r="L94" s="4"/>
      <c r="M94" s="4"/>
      <c r="N94" s="11">
        <v>0</v>
      </c>
      <c r="O94" s="4"/>
      <c r="P94" s="4"/>
      <c r="Q94" s="11">
        <v>0</v>
      </c>
      <c r="R94" s="4"/>
      <c r="S94" s="12"/>
    </row>
    <row r="95" spans="1:19" x14ac:dyDescent="0.25">
      <c r="A95" s="9" t="s">
        <v>93</v>
      </c>
      <c r="B95" s="9" t="s">
        <v>291</v>
      </c>
      <c r="C95" s="4">
        <v>201004823</v>
      </c>
      <c r="D95" s="4" t="s">
        <v>118</v>
      </c>
      <c r="E95" s="4" t="str">
        <f>"097242010"</f>
        <v>097242010</v>
      </c>
      <c r="F95" s="10">
        <v>40394</v>
      </c>
      <c r="G95" s="11">
        <v>625000</v>
      </c>
      <c r="H95" s="11">
        <v>625000</v>
      </c>
      <c r="I95" s="4" t="s">
        <v>54</v>
      </c>
      <c r="J95" s="4" t="s">
        <v>55</v>
      </c>
      <c r="K95" s="11">
        <v>0</v>
      </c>
      <c r="L95" s="4"/>
      <c r="M95" s="4"/>
      <c r="N95" s="11">
        <v>0</v>
      </c>
      <c r="O95" s="4"/>
      <c r="P95" s="4"/>
      <c r="Q95" s="11">
        <v>0</v>
      </c>
      <c r="R95" s="4"/>
      <c r="S95" s="12"/>
    </row>
    <row r="96" spans="1:19" x14ac:dyDescent="0.25">
      <c r="A96" s="9" t="s">
        <v>93</v>
      </c>
      <c r="B96" s="9" t="s">
        <v>291</v>
      </c>
      <c r="C96" s="4">
        <v>201004970</v>
      </c>
      <c r="D96" s="4" t="s">
        <v>119</v>
      </c>
      <c r="E96" s="4" t="str">
        <f>"099202010"</f>
        <v>099202010</v>
      </c>
      <c r="F96" s="10">
        <v>40395</v>
      </c>
      <c r="G96" s="11">
        <v>225000</v>
      </c>
      <c r="H96" s="11">
        <v>225000</v>
      </c>
      <c r="I96" s="4" t="s">
        <v>72</v>
      </c>
      <c r="J96" s="4" t="s">
        <v>73</v>
      </c>
      <c r="K96" s="11">
        <v>0</v>
      </c>
      <c r="L96" s="4"/>
      <c r="M96" s="4"/>
      <c r="N96" s="11">
        <v>0</v>
      </c>
      <c r="O96" s="4"/>
      <c r="P96" s="4"/>
      <c r="Q96" s="11">
        <v>0</v>
      </c>
      <c r="R96" s="4"/>
      <c r="S96" s="12"/>
    </row>
    <row r="97" spans="1:19" x14ac:dyDescent="0.25">
      <c r="A97" s="9" t="s">
        <v>93</v>
      </c>
      <c r="B97" s="9" t="s">
        <v>291</v>
      </c>
      <c r="C97" s="4">
        <v>201005139</v>
      </c>
      <c r="D97" s="4" t="s">
        <v>120</v>
      </c>
      <c r="E97" s="4" t="str">
        <f>"102372010"</f>
        <v>102372010</v>
      </c>
      <c r="F97" s="10">
        <v>40409</v>
      </c>
      <c r="G97" s="11">
        <v>100000</v>
      </c>
      <c r="H97" s="11">
        <v>100000</v>
      </c>
      <c r="I97" s="4" t="s">
        <v>72</v>
      </c>
      <c r="J97" s="4" t="s">
        <v>73</v>
      </c>
      <c r="K97" s="11">
        <v>0</v>
      </c>
      <c r="L97" s="4"/>
      <c r="M97" s="4"/>
      <c r="N97" s="11">
        <v>0</v>
      </c>
      <c r="O97" s="4"/>
      <c r="P97" s="4"/>
      <c r="Q97" s="11">
        <v>0</v>
      </c>
      <c r="R97" s="4"/>
      <c r="S97" s="12"/>
    </row>
    <row r="98" spans="1:19" x14ac:dyDescent="0.25">
      <c r="A98" s="9" t="s">
        <v>93</v>
      </c>
      <c r="B98" s="9" t="s">
        <v>291</v>
      </c>
      <c r="C98" s="4">
        <v>201005506</v>
      </c>
      <c r="D98" s="4" t="s">
        <v>121</v>
      </c>
      <c r="E98" s="4" t="str">
        <f>"114122010"</f>
        <v>114122010</v>
      </c>
      <c r="F98" s="10">
        <v>40449</v>
      </c>
      <c r="G98" s="11">
        <v>25000</v>
      </c>
      <c r="H98" s="11">
        <v>25000</v>
      </c>
      <c r="I98" s="4" t="s">
        <v>72</v>
      </c>
      <c r="J98" s="4" t="s">
        <v>73</v>
      </c>
      <c r="K98" s="11">
        <v>0</v>
      </c>
      <c r="L98" s="4"/>
      <c r="M98" s="4"/>
      <c r="N98" s="11">
        <v>0</v>
      </c>
      <c r="O98" s="4"/>
      <c r="P98" s="4"/>
      <c r="Q98" s="11">
        <v>0</v>
      </c>
      <c r="R98" s="4"/>
      <c r="S98" s="12"/>
    </row>
    <row r="99" spans="1:19" x14ac:dyDescent="0.25">
      <c r="A99" s="9" t="s">
        <v>93</v>
      </c>
      <c r="B99" s="9" t="s">
        <v>291</v>
      </c>
      <c r="C99" s="4">
        <v>201005515</v>
      </c>
      <c r="D99" s="4"/>
      <c r="E99" s="4" t="str">
        <f>"109772010"</f>
        <v>109772010</v>
      </c>
      <c r="F99" s="10">
        <v>40431</v>
      </c>
      <c r="G99" s="11">
        <v>925</v>
      </c>
      <c r="H99" s="11">
        <v>925</v>
      </c>
      <c r="I99" s="4" t="s">
        <v>38</v>
      </c>
      <c r="J99" s="4" t="s">
        <v>39</v>
      </c>
      <c r="K99" s="11">
        <v>0</v>
      </c>
      <c r="L99" s="4"/>
      <c r="M99" s="4"/>
      <c r="N99" s="11">
        <v>0</v>
      </c>
      <c r="O99" s="4"/>
      <c r="P99" s="4"/>
      <c r="Q99" s="11">
        <v>0</v>
      </c>
      <c r="R99" s="4"/>
      <c r="S99" s="12"/>
    </row>
    <row r="100" spans="1:19" x14ac:dyDescent="0.25">
      <c r="A100" s="9" t="s">
        <v>93</v>
      </c>
      <c r="B100" s="9" t="s">
        <v>291</v>
      </c>
      <c r="C100" s="4">
        <v>201005622</v>
      </c>
      <c r="D100" s="4" t="s">
        <v>122</v>
      </c>
      <c r="E100" s="4" t="str">
        <f>"113602010"</f>
        <v>113602010</v>
      </c>
      <c r="F100" s="10">
        <v>40449</v>
      </c>
      <c r="G100" s="11">
        <v>19069.13</v>
      </c>
      <c r="H100" s="11">
        <v>1569.13</v>
      </c>
      <c r="I100" s="4" t="s">
        <v>123</v>
      </c>
      <c r="J100" s="4" t="s">
        <v>124</v>
      </c>
      <c r="K100" s="11">
        <v>17500</v>
      </c>
      <c r="L100" s="4" t="s">
        <v>123</v>
      </c>
      <c r="M100" s="4" t="s">
        <v>124</v>
      </c>
      <c r="N100" s="11">
        <v>0</v>
      </c>
      <c r="O100" s="4"/>
      <c r="P100" s="4"/>
      <c r="Q100" s="11">
        <v>0</v>
      </c>
      <c r="R100" s="4"/>
      <c r="S100" s="12"/>
    </row>
    <row r="101" spans="1:19" x14ac:dyDescent="0.25">
      <c r="A101" s="9" t="s">
        <v>93</v>
      </c>
      <c r="B101" s="9" t="s">
        <v>291</v>
      </c>
      <c r="C101" s="4">
        <v>201005649</v>
      </c>
      <c r="D101" s="4" t="s">
        <v>125</v>
      </c>
      <c r="E101" s="4" t="str">
        <f>"114332010"</f>
        <v>114332010</v>
      </c>
      <c r="F101" s="10">
        <v>40449</v>
      </c>
      <c r="G101" s="11">
        <v>5000</v>
      </c>
      <c r="H101" s="11">
        <v>5000</v>
      </c>
      <c r="I101" s="4" t="s">
        <v>72</v>
      </c>
      <c r="J101" s="4" t="s">
        <v>73</v>
      </c>
      <c r="K101" s="11">
        <v>0</v>
      </c>
      <c r="L101" s="4"/>
      <c r="M101" s="4"/>
      <c r="N101" s="11">
        <v>0</v>
      </c>
      <c r="O101" s="4"/>
      <c r="P101" s="4"/>
      <c r="Q101" s="11">
        <v>0</v>
      </c>
      <c r="R101" s="4"/>
      <c r="S101" s="12"/>
    </row>
    <row r="102" spans="1:19" x14ac:dyDescent="0.25">
      <c r="A102" s="9" t="s">
        <v>126</v>
      </c>
      <c r="B102" s="9" t="s">
        <v>291</v>
      </c>
      <c r="C102" s="4">
        <v>201002755</v>
      </c>
      <c r="D102" s="4" t="s">
        <v>127</v>
      </c>
      <c r="E102" s="4" t="str">
        <f>"054262010"</f>
        <v>054262010</v>
      </c>
      <c r="F102" s="10">
        <v>40270</v>
      </c>
      <c r="G102" s="11">
        <v>550000</v>
      </c>
      <c r="H102" s="11">
        <v>550000</v>
      </c>
      <c r="I102" s="4" t="s">
        <v>38</v>
      </c>
      <c r="J102" s="4" t="s">
        <v>39</v>
      </c>
      <c r="K102" s="11">
        <v>0</v>
      </c>
      <c r="L102" s="4"/>
      <c r="M102" s="4"/>
      <c r="N102" s="11">
        <v>0</v>
      </c>
      <c r="O102" s="4"/>
      <c r="P102" s="4"/>
      <c r="Q102" s="11">
        <v>0</v>
      </c>
      <c r="R102" s="4"/>
      <c r="S102" s="12"/>
    </row>
    <row r="103" spans="1:19" x14ac:dyDescent="0.25">
      <c r="A103" s="9" t="s">
        <v>128</v>
      </c>
      <c r="B103" s="9" t="s">
        <v>291</v>
      </c>
      <c r="C103" s="4">
        <v>201000497</v>
      </c>
      <c r="D103" s="4" t="s">
        <v>129</v>
      </c>
      <c r="E103" s="4" t="str">
        <f>"012532010"</f>
        <v>012532010</v>
      </c>
      <c r="F103" s="10">
        <v>40134</v>
      </c>
      <c r="G103" s="11">
        <v>3500</v>
      </c>
      <c r="H103" s="11">
        <v>3500</v>
      </c>
      <c r="I103" s="4" t="s">
        <v>23</v>
      </c>
      <c r="J103" s="4" t="s">
        <v>24</v>
      </c>
      <c r="K103" s="11">
        <v>0</v>
      </c>
      <c r="L103" s="4"/>
      <c r="M103" s="4"/>
      <c r="N103" s="11">
        <v>0</v>
      </c>
      <c r="O103" s="4"/>
      <c r="P103" s="4"/>
      <c r="Q103" s="11">
        <v>0</v>
      </c>
      <c r="R103" s="4"/>
      <c r="S103" s="12"/>
    </row>
    <row r="104" spans="1:19" x14ac:dyDescent="0.25">
      <c r="A104" s="9" t="s">
        <v>128</v>
      </c>
      <c r="B104" s="9" t="s">
        <v>291</v>
      </c>
      <c r="C104" s="4">
        <v>201001160</v>
      </c>
      <c r="D104" s="4" t="s">
        <v>130</v>
      </c>
      <c r="E104" s="4" t="str">
        <f>"022832010"</f>
        <v>022832010</v>
      </c>
      <c r="F104" s="10">
        <v>40165</v>
      </c>
      <c r="G104" s="11">
        <v>4397.38</v>
      </c>
      <c r="H104" s="11">
        <v>0</v>
      </c>
      <c r="I104" s="4"/>
      <c r="J104" s="4"/>
      <c r="K104" s="11">
        <v>0</v>
      </c>
      <c r="L104" s="4"/>
      <c r="M104" s="4"/>
      <c r="N104" s="11">
        <v>4397.38</v>
      </c>
      <c r="O104" s="4" t="s">
        <v>56</v>
      </c>
      <c r="P104" s="4" t="s">
        <v>57</v>
      </c>
      <c r="Q104" s="11">
        <v>0</v>
      </c>
      <c r="R104" s="4"/>
      <c r="S104" s="12"/>
    </row>
    <row r="105" spans="1:19" x14ac:dyDescent="0.25">
      <c r="A105" s="9" t="s">
        <v>128</v>
      </c>
      <c r="B105" s="9" t="s">
        <v>291</v>
      </c>
      <c r="C105" s="4">
        <v>201001621</v>
      </c>
      <c r="D105" s="4" t="s">
        <v>131</v>
      </c>
      <c r="E105" s="4" t="str">
        <f>"085242010"</f>
        <v>085242010</v>
      </c>
      <c r="F105" s="10">
        <v>40353</v>
      </c>
      <c r="G105" s="11">
        <v>350</v>
      </c>
      <c r="H105" s="11">
        <v>0</v>
      </c>
      <c r="I105" s="4"/>
      <c r="J105" s="4"/>
      <c r="K105" s="11">
        <v>0</v>
      </c>
      <c r="L105" s="4"/>
      <c r="M105" s="4"/>
      <c r="N105" s="11">
        <v>350</v>
      </c>
      <c r="O105" s="4" t="s">
        <v>56</v>
      </c>
      <c r="P105" s="4" t="s">
        <v>57</v>
      </c>
      <c r="Q105" s="11">
        <v>0</v>
      </c>
      <c r="R105" s="4"/>
      <c r="S105" s="12"/>
    </row>
    <row r="106" spans="1:19" x14ac:dyDescent="0.25">
      <c r="A106" s="9" t="s">
        <v>128</v>
      </c>
      <c r="B106" s="9" t="s">
        <v>291</v>
      </c>
      <c r="C106" s="4">
        <v>201001887</v>
      </c>
      <c r="D106" s="4" t="s">
        <v>132</v>
      </c>
      <c r="E106" s="4" t="str">
        <f>"087922010"</f>
        <v>087922010</v>
      </c>
      <c r="F106" s="10">
        <v>40360</v>
      </c>
      <c r="G106" s="11">
        <v>635.20000000000005</v>
      </c>
      <c r="H106" s="11">
        <v>0</v>
      </c>
      <c r="I106" s="4"/>
      <c r="J106" s="4"/>
      <c r="K106" s="11">
        <v>0</v>
      </c>
      <c r="L106" s="4"/>
      <c r="M106" s="4"/>
      <c r="N106" s="11">
        <v>635.20000000000005</v>
      </c>
      <c r="O106" s="4" t="s">
        <v>56</v>
      </c>
      <c r="P106" s="4" t="s">
        <v>57</v>
      </c>
      <c r="Q106" s="11">
        <v>0</v>
      </c>
      <c r="R106" s="4"/>
      <c r="S106" s="12"/>
    </row>
    <row r="107" spans="1:19" x14ac:dyDescent="0.25">
      <c r="A107" s="9" t="s">
        <v>128</v>
      </c>
      <c r="B107" s="9" t="s">
        <v>291</v>
      </c>
      <c r="C107" s="4">
        <v>201003891</v>
      </c>
      <c r="D107" s="4" t="s">
        <v>133</v>
      </c>
      <c r="E107" s="4" t="str">
        <f>"076232010"</f>
        <v>076232010</v>
      </c>
      <c r="F107" s="10">
        <v>40333</v>
      </c>
      <c r="G107" s="11">
        <v>250</v>
      </c>
      <c r="H107" s="11">
        <v>250</v>
      </c>
      <c r="I107" s="4" t="s">
        <v>56</v>
      </c>
      <c r="J107" s="4" t="s">
        <v>57</v>
      </c>
      <c r="K107" s="11">
        <v>0</v>
      </c>
      <c r="L107" s="4"/>
      <c r="M107" s="4"/>
      <c r="N107" s="11">
        <v>0</v>
      </c>
      <c r="O107" s="4"/>
      <c r="P107" s="4"/>
      <c r="Q107" s="11">
        <v>0</v>
      </c>
      <c r="R107" s="4"/>
      <c r="S107" s="12"/>
    </row>
    <row r="108" spans="1:19" x14ac:dyDescent="0.25">
      <c r="A108" s="9" t="s">
        <v>128</v>
      </c>
      <c r="B108" s="9" t="s">
        <v>291</v>
      </c>
      <c r="C108" s="4">
        <v>201003970</v>
      </c>
      <c r="D108" s="4" t="s">
        <v>134</v>
      </c>
      <c r="E108" s="4" t="str">
        <f>"077932010"</f>
        <v>077932010</v>
      </c>
      <c r="F108" s="10">
        <v>40340</v>
      </c>
      <c r="G108" s="11">
        <v>4787.8</v>
      </c>
      <c r="H108" s="11">
        <v>0</v>
      </c>
      <c r="I108" s="4"/>
      <c r="J108" s="4"/>
      <c r="K108" s="11">
        <v>0</v>
      </c>
      <c r="L108" s="4"/>
      <c r="M108" s="4"/>
      <c r="N108" s="11">
        <v>4787.8</v>
      </c>
      <c r="O108" s="4" t="s">
        <v>56</v>
      </c>
      <c r="P108" s="4" t="s">
        <v>57</v>
      </c>
      <c r="Q108" s="11">
        <v>0</v>
      </c>
      <c r="R108" s="4"/>
      <c r="S108" s="12"/>
    </row>
    <row r="109" spans="1:19" x14ac:dyDescent="0.25">
      <c r="A109" s="9" t="s">
        <v>128</v>
      </c>
      <c r="B109" s="9" t="s">
        <v>291</v>
      </c>
      <c r="C109" s="4">
        <v>201004316</v>
      </c>
      <c r="D109" s="4" t="s">
        <v>135</v>
      </c>
      <c r="E109" s="4" t="str">
        <f>"085942010"</f>
        <v>085942010</v>
      </c>
      <c r="F109" s="10">
        <v>40357</v>
      </c>
      <c r="G109" s="11">
        <v>350</v>
      </c>
      <c r="H109" s="11">
        <v>0</v>
      </c>
      <c r="I109" s="4"/>
      <c r="J109" s="4"/>
      <c r="K109" s="11">
        <v>0</v>
      </c>
      <c r="L109" s="4"/>
      <c r="M109" s="4"/>
      <c r="N109" s="11">
        <v>350</v>
      </c>
      <c r="O109" s="4" t="s">
        <v>56</v>
      </c>
      <c r="P109" s="4" t="s">
        <v>57</v>
      </c>
      <c r="Q109" s="11">
        <v>0</v>
      </c>
      <c r="R109" s="4"/>
      <c r="S109" s="12"/>
    </row>
    <row r="110" spans="1:19" x14ac:dyDescent="0.25">
      <c r="A110" s="9" t="s">
        <v>128</v>
      </c>
      <c r="B110" s="9" t="s">
        <v>291</v>
      </c>
      <c r="C110" s="4">
        <v>201004326</v>
      </c>
      <c r="D110" s="4"/>
      <c r="E110" s="4" t="str">
        <f>"086822010"</f>
        <v>086822010</v>
      </c>
      <c r="F110" s="10">
        <v>40357</v>
      </c>
      <c r="G110" s="11">
        <v>350</v>
      </c>
      <c r="H110" s="11">
        <v>0</v>
      </c>
      <c r="I110" s="4"/>
      <c r="J110" s="4"/>
      <c r="K110" s="11">
        <v>0</v>
      </c>
      <c r="L110" s="4"/>
      <c r="M110" s="4"/>
      <c r="N110" s="11">
        <v>350</v>
      </c>
      <c r="O110" s="4" t="s">
        <v>56</v>
      </c>
      <c r="P110" s="4" t="s">
        <v>57</v>
      </c>
      <c r="Q110" s="11">
        <v>0</v>
      </c>
      <c r="R110" s="4"/>
      <c r="S110" s="12"/>
    </row>
    <row r="111" spans="1:19" x14ac:dyDescent="0.25">
      <c r="A111" s="9" t="s">
        <v>128</v>
      </c>
      <c r="B111" s="9" t="s">
        <v>291</v>
      </c>
      <c r="C111" s="4">
        <v>201004328</v>
      </c>
      <c r="D111" s="4"/>
      <c r="E111" s="4" t="str">
        <f>"086682010"</f>
        <v>086682010</v>
      </c>
      <c r="F111" s="10">
        <v>40357</v>
      </c>
      <c r="G111" s="11">
        <v>350</v>
      </c>
      <c r="H111" s="11">
        <v>0</v>
      </c>
      <c r="I111" s="4"/>
      <c r="J111" s="4"/>
      <c r="K111" s="11">
        <v>0</v>
      </c>
      <c r="L111" s="4"/>
      <c r="M111" s="4"/>
      <c r="N111" s="11">
        <v>350</v>
      </c>
      <c r="O111" s="4" t="s">
        <v>56</v>
      </c>
      <c r="P111" s="4" t="s">
        <v>57</v>
      </c>
      <c r="Q111" s="11">
        <v>0</v>
      </c>
      <c r="R111" s="4"/>
      <c r="S111" s="12"/>
    </row>
    <row r="112" spans="1:19" x14ac:dyDescent="0.25">
      <c r="A112" s="9" t="s">
        <v>136</v>
      </c>
      <c r="B112" s="9" t="s">
        <v>291</v>
      </c>
      <c r="C112" s="4">
        <v>201000454</v>
      </c>
      <c r="D112" s="4" t="s">
        <v>137</v>
      </c>
      <c r="E112" s="4" t="str">
        <f>"008292010"</f>
        <v>008292010</v>
      </c>
      <c r="F112" s="10">
        <v>40119</v>
      </c>
      <c r="G112" s="11">
        <v>15000</v>
      </c>
      <c r="H112" s="11">
        <v>15000</v>
      </c>
      <c r="I112" s="4" t="s">
        <v>38</v>
      </c>
      <c r="J112" s="4" t="s">
        <v>39</v>
      </c>
      <c r="K112" s="11">
        <v>0</v>
      </c>
      <c r="L112" s="4"/>
      <c r="M112" s="4"/>
      <c r="N112" s="11">
        <v>0</v>
      </c>
      <c r="O112" s="4"/>
      <c r="P112" s="4"/>
      <c r="Q112" s="11">
        <v>0</v>
      </c>
      <c r="R112" s="4"/>
      <c r="S112" s="12"/>
    </row>
    <row r="113" spans="1:19" x14ac:dyDescent="0.25">
      <c r="A113" s="9" t="s">
        <v>136</v>
      </c>
      <c r="B113" s="9" t="s">
        <v>291</v>
      </c>
      <c r="C113" s="4">
        <v>201002607</v>
      </c>
      <c r="D113" s="4" t="s">
        <v>138</v>
      </c>
      <c r="E113" s="4" t="str">
        <f>"052262010"</f>
        <v>052262010</v>
      </c>
      <c r="F113" s="10">
        <v>40266</v>
      </c>
      <c r="G113" s="11">
        <v>2170000</v>
      </c>
      <c r="H113" s="11">
        <v>2170000</v>
      </c>
      <c r="I113" s="4" t="s">
        <v>23</v>
      </c>
      <c r="J113" s="4" t="s">
        <v>24</v>
      </c>
      <c r="K113" s="11">
        <v>0</v>
      </c>
      <c r="L113" s="4"/>
      <c r="M113" s="4"/>
      <c r="N113" s="11">
        <v>0</v>
      </c>
      <c r="O113" s="4"/>
      <c r="P113" s="4"/>
      <c r="Q113" s="11">
        <v>0</v>
      </c>
      <c r="R113" s="4"/>
      <c r="S113" s="12"/>
    </row>
    <row r="114" spans="1:19" x14ac:dyDescent="0.25">
      <c r="A114" s="9" t="s">
        <v>136</v>
      </c>
      <c r="B114" s="9" t="s">
        <v>291</v>
      </c>
      <c r="C114" s="4">
        <v>201002607</v>
      </c>
      <c r="D114" s="4" t="s">
        <v>138</v>
      </c>
      <c r="E114" s="4" t="str">
        <f>"052282010"</f>
        <v>052282010</v>
      </c>
      <c r="F114" s="10">
        <v>40270</v>
      </c>
      <c r="G114" s="11">
        <v>930000</v>
      </c>
      <c r="H114" s="11">
        <v>930000</v>
      </c>
      <c r="I114" s="4" t="s">
        <v>23</v>
      </c>
      <c r="J114" s="4" t="s">
        <v>24</v>
      </c>
      <c r="K114" s="11">
        <v>0</v>
      </c>
      <c r="L114" s="4"/>
      <c r="M114" s="4"/>
      <c r="N114" s="11">
        <v>0</v>
      </c>
      <c r="O114" s="4"/>
      <c r="P114" s="4"/>
      <c r="Q114" s="11">
        <v>0</v>
      </c>
      <c r="R114" s="4"/>
      <c r="S114" s="12"/>
    </row>
    <row r="115" spans="1:19" x14ac:dyDescent="0.25">
      <c r="A115" s="9" t="s">
        <v>136</v>
      </c>
      <c r="B115" s="9" t="s">
        <v>291</v>
      </c>
      <c r="C115" s="4">
        <v>201002607</v>
      </c>
      <c r="D115" s="4" t="s">
        <v>138</v>
      </c>
      <c r="E115" s="4" t="str">
        <f>"052302010"</f>
        <v>052302010</v>
      </c>
      <c r="F115" s="10">
        <v>40270</v>
      </c>
      <c r="G115" s="11">
        <v>400000</v>
      </c>
      <c r="H115" s="11">
        <v>400000</v>
      </c>
      <c r="I115" s="4" t="s">
        <v>23</v>
      </c>
      <c r="J115" s="4" t="s">
        <v>24</v>
      </c>
      <c r="K115" s="11">
        <v>0</v>
      </c>
      <c r="L115" s="4"/>
      <c r="M115" s="4"/>
      <c r="N115" s="11">
        <v>0</v>
      </c>
      <c r="O115" s="4"/>
      <c r="P115" s="4"/>
      <c r="Q115" s="11">
        <v>0</v>
      </c>
      <c r="R115" s="4"/>
      <c r="S115" s="12"/>
    </row>
    <row r="116" spans="1:19" x14ac:dyDescent="0.25">
      <c r="A116" s="9" t="s">
        <v>136</v>
      </c>
      <c r="B116" s="9" t="s">
        <v>291</v>
      </c>
      <c r="C116" s="4">
        <v>201003767</v>
      </c>
      <c r="D116" s="4" t="s">
        <v>139</v>
      </c>
      <c r="E116" s="4" t="str">
        <f>"075082010"</f>
        <v>075082010</v>
      </c>
      <c r="F116" s="10">
        <v>40331</v>
      </c>
      <c r="G116" s="11">
        <v>790000</v>
      </c>
      <c r="H116" s="11">
        <v>790000</v>
      </c>
      <c r="I116" s="4" t="s">
        <v>23</v>
      </c>
      <c r="J116" s="4" t="s">
        <v>24</v>
      </c>
      <c r="K116" s="11">
        <v>0</v>
      </c>
      <c r="L116" s="4"/>
      <c r="M116" s="4"/>
      <c r="N116" s="11">
        <v>0</v>
      </c>
      <c r="O116" s="4"/>
      <c r="P116" s="4"/>
      <c r="Q116" s="11">
        <v>0</v>
      </c>
      <c r="R116" s="4"/>
      <c r="S116" s="12"/>
    </row>
    <row r="117" spans="1:19" x14ac:dyDescent="0.25">
      <c r="A117" s="9" t="s">
        <v>136</v>
      </c>
      <c r="B117" s="9" t="s">
        <v>291</v>
      </c>
      <c r="C117" s="4">
        <v>201005402</v>
      </c>
      <c r="D117" s="4" t="s">
        <v>2534</v>
      </c>
      <c r="E117" s="4" t="str">
        <f>"107402010"</f>
        <v>107402010</v>
      </c>
      <c r="F117" s="10">
        <v>40423</v>
      </c>
      <c r="G117" s="11">
        <v>250000</v>
      </c>
      <c r="H117" s="11">
        <v>200000</v>
      </c>
      <c r="I117" s="4" t="s">
        <v>38</v>
      </c>
      <c r="J117" s="4" t="s">
        <v>39</v>
      </c>
      <c r="K117" s="11">
        <v>50000</v>
      </c>
      <c r="L117" s="4" t="s">
        <v>38</v>
      </c>
      <c r="M117" s="4" t="s">
        <v>39</v>
      </c>
      <c r="N117" s="11">
        <v>0</v>
      </c>
      <c r="O117" s="4"/>
      <c r="P117" s="4"/>
      <c r="Q117" s="11">
        <v>0</v>
      </c>
      <c r="R117" s="4"/>
      <c r="S117" s="12"/>
    </row>
    <row r="118" spans="1:19" x14ac:dyDescent="0.25">
      <c r="A118" s="9" t="s">
        <v>136</v>
      </c>
      <c r="B118" s="9" t="s">
        <v>291</v>
      </c>
      <c r="C118" s="4">
        <v>201005439</v>
      </c>
      <c r="D118" s="4" t="s">
        <v>140</v>
      </c>
      <c r="E118" s="4" t="str">
        <f>"107972010"</f>
        <v>107972010</v>
      </c>
      <c r="F118" s="10">
        <v>40423</v>
      </c>
      <c r="G118" s="11">
        <v>40000</v>
      </c>
      <c r="H118" s="11">
        <v>40000</v>
      </c>
      <c r="I118" s="4" t="s">
        <v>38</v>
      </c>
      <c r="J118" s="4" t="s">
        <v>39</v>
      </c>
      <c r="K118" s="11">
        <v>0</v>
      </c>
      <c r="L118" s="4"/>
      <c r="M118" s="4"/>
      <c r="N118" s="11">
        <v>0</v>
      </c>
      <c r="O118" s="4"/>
      <c r="P118" s="4"/>
      <c r="Q118" s="11">
        <v>0</v>
      </c>
      <c r="R118" s="4"/>
      <c r="S118" s="12"/>
    </row>
    <row r="119" spans="1:19" x14ac:dyDescent="0.25">
      <c r="A119" s="9" t="s">
        <v>141</v>
      </c>
      <c r="B119" s="9" t="s">
        <v>291</v>
      </c>
      <c r="C119" s="4">
        <v>200905331</v>
      </c>
      <c r="D119" s="4"/>
      <c r="E119" s="4" t="str">
        <f>"075662009"</f>
        <v>075662009</v>
      </c>
      <c r="F119" s="10">
        <v>40087</v>
      </c>
      <c r="G119" s="11">
        <v>29750</v>
      </c>
      <c r="H119" s="11">
        <v>29750</v>
      </c>
      <c r="I119" s="4" t="s">
        <v>142</v>
      </c>
      <c r="J119" s="4" t="s">
        <v>143</v>
      </c>
      <c r="K119" s="11">
        <v>0</v>
      </c>
      <c r="L119" s="4"/>
      <c r="M119" s="4"/>
      <c r="N119" s="11">
        <v>0</v>
      </c>
      <c r="O119" s="4"/>
      <c r="P119" s="4"/>
      <c r="Q119" s="11">
        <v>0</v>
      </c>
      <c r="R119" s="4"/>
      <c r="S119" s="12"/>
    </row>
    <row r="120" spans="1:19" x14ac:dyDescent="0.25">
      <c r="A120" s="9" t="s">
        <v>144</v>
      </c>
      <c r="B120" s="9" t="s">
        <v>291</v>
      </c>
      <c r="C120" s="4">
        <v>201000198</v>
      </c>
      <c r="D120" s="4"/>
      <c r="E120" s="4" t="str">
        <f>"004892010"</f>
        <v>004892010</v>
      </c>
      <c r="F120" s="10">
        <v>40105</v>
      </c>
      <c r="G120" s="11">
        <v>0</v>
      </c>
      <c r="H120" s="11">
        <v>171167</v>
      </c>
      <c r="I120" s="4" t="s">
        <v>142</v>
      </c>
      <c r="J120" s="4" t="s">
        <v>143</v>
      </c>
      <c r="K120" s="11">
        <v>0</v>
      </c>
      <c r="L120" s="4"/>
      <c r="M120" s="4"/>
      <c r="N120" s="11">
        <v>0</v>
      </c>
      <c r="O120" s="4"/>
      <c r="P120" s="4"/>
      <c r="Q120" s="11">
        <v>0</v>
      </c>
      <c r="R120" s="4"/>
      <c r="S120" s="12"/>
    </row>
    <row r="121" spans="1:19" x14ac:dyDescent="0.25">
      <c r="A121" s="9" t="s">
        <v>145</v>
      </c>
      <c r="B121" s="9" t="s">
        <v>291</v>
      </c>
      <c r="C121" s="4">
        <v>201004098</v>
      </c>
      <c r="D121" s="4"/>
      <c r="E121" s="4" t="str">
        <f>"085782010"</f>
        <v>085782010</v>
      </c>
      <c r="F121" s="10">
        <v>40352</v>
      </c>
      <c r="G121" s="11">
        <v>39000</v>
      </c>
      <c r="H121" s="11">
        <v>39000</v>
      </c>
      <c r="I121" s="4" t="s">
        <v>142</v>
      </c>
      <c r="J121" s="4" t="s">
        <v>143</v>
      </c>
      <c r="K121" s="11">
        <v>0</v>
      </c>
      <c r="L121" s="4"/>
      <c r="M121" s="4"/>
      <c r="N121" s="11">
        <v>0</v>
      </c>
      <c r="O121" s="4"/>
      <c r="P121" s="4"/>
      <c r="Q121" s="11">
        <v>0</v>
      </c>
      <c r="R121" s="4"/>
      <c r="S121" s="12"/>
    </row>
    <row r="122" spans="1:19" x14ac:dyDescent="0.25">
      <c r="A122" s="9" t="s">
        <v>146</v>
      </c>
      <c r="B122" s="9" t="s">
        <v>291</v>
      </c>
      <c r="C122" s="4">
        <v>201000324</v>
      </c>
      <c r="D122" s="4" t="s">
        <v>147</v>
      </c>
      <c r="E122" s="4" t="str">
        <f>"006092010"</f>
        <v>006092010</v>
      </c>
      <c r="F122" s="10">
        <v>40112</v>
      </c>
      <c r="G122" s="11">
        <v>125000</v>
      </c>
      <c r="H122" s="11">
        <v>125000</v>
      </c>
      <c r="I122" s="4" t="s">
        <v>23</v>
      </c>
      <c r="J122" s="4" t="s">
        <v>24</v>
      </c>
      <c r="K122" s="11">
        <v>0</v>
      </c>
      <c r="L122" s="4"/>
      <c r="M122" s="4"/>
      <c r="N122" s="11">
        <v>0</v>
      </c>
      <c r="O122" s="4"/>
      <c r="P122" s="4"/>
      <c r="Q122" s="11">
        <v>0</v>
      </c>
      <c r="R122" s="4"/>
      <c r="S122" s="12"/>
    </row>
    <row r="123" spans="1:19" x14ac:dyDescent="0.25">
      <c r="A123" s="9" t="s">
        <v>148</v>
      </c>
      <c r="B123" s="9" t="s">
        <v>291</v>
      </c>
      <c r="C123" s="4">
        <v>201004119</v>
      </c>
      <c r="D123" s="4" t="s">
        <v>149</v>
      </c>
      <c r="E123" s="4" t="str">
        <f>"086462010"</f>
        <v>086462010</v>
      </c>
      <c r="F123" s="10">
        <v>40357</v>
      </c>
      <c r="G123" s="11">
        <v>20000</v>
      </c>
      <c r="H123" s="11">
        <v>20000</v>
      </c>
      <c r="I123" s="4" t="s">
        <v>23</v>
      </c>
      <c r="J123" s="4" t="s">
        <v>24</v>
      </c>
      <c r="K123" s="11">
        <v>0</v>
      </c>
      <c r="L123" s="4"/>
      <c r="M123" s="4"/>
      <c r="N123" s="11">
        <v>0</v>
      </c>
      <c r="O123" s="4"/>
      <c r="P123" s="4"/>
      <c r="Q123" s="11">
        <v>0</v>
      </c>
      <c r="R123" s="4"/>
      <c r="S123" s="12"/>
    </row>
    <row r="124" spans="1:19" x14ac:dyDescent="0.25">
      <c r="A124" s="9" t="s">
        <v>150</v>
      </c>
      <c r="B124" s="9" t="s">
        <v>291</v>
      </c>
      <c r="C124" s="4">
        <v>201000209</v>
      </c>
      <c r="D124" s="4" t="s">
        <v>151</v>
      </c>
      <c r="E124" s="4" t="str">
        <f>"003822010"</f>
        <v>003822010</v>
      </c>
      <c r="F124" s="10">
        <v>40102</v>
      </c>
      <c r="G124" s="11">
        <v>1000</v>
      </c>
      <c r="H124" s="11">
        <v>1000</v>
      </c>
      <c r="I124" s="4" t="s">
        <v>38</v>
      </c>
      <c r="J124" s="4" t="s">
        <v>39</v>
      </c>
      <c r="K124" s="11">
        <v>0</v>
      </c>
      <c r="L124" s="4"/>
      <c r="M124" s="4"/>
      <c r="N124" s="11">
        <v>0</v>
      </c>
      <c r="O124" s="4"/>
      <c r="P124" s="4"/>
      <c r="Q124" s="11">
        <v>0</v>
      </c>
      <c r="R124" s="4"/>
      <c r="S124" s="12"/>
    </row>
    <row r="125" spans="1:19" x14ac:dyDescent="0.25">
      <c r="A125" s="9" t="s">
        <v>150</v>
      </c>
      <c r="B125" s="9" t="s">
        <v>291</v>
      </c>
      <c r="C125" s="4">
        <v>201000456</v>
      </c>
      <c r="D125" s="4" t="s">
        <v>152</v>
      </c>
      <c r="E125" s="4" t="str">
        <f>"008372010"</f>
        <v>008372010</v>
      </c>
      <c r="F125" s="10">
        <v>40119</v>
      </c>
      <c r="G125" s="11">
        <v>17500</v>
      </c>
      <c r="H125" s="11">
        <v>17500</v>
      </c>
      <c r="I125" s="4" t="s">
        <v>23</v>
      </c>
      <c r="J125" s="4" t="s">
        <v>24</v>
      </c>
      <c r="K125" s="11">
        <v>0</v>
      </c>
      <c r="L125" s="4"/>
      <c r="M125" s="4"/>
      <c r="N125" s="11">
        <v>0</v>
      </c>
      <c r="O125" s="4"/>
      <c r="P125" s="4"/>
      <c r="Q125" s="11">
        <v>0</v>
      </c>
      <c r="R125" s="4"/>
      <c r="S125" s="12"/>
    </row>
    <row r="126" spans="1:19" x14ac:dyDescent="0.25">
      <c r="A126" s="9" t="s">
        <v>150</v>
      </c>
      <c r="B126" s="9" t="s">
        <v>291</v>
      </c>
      <c r="C126" s="4">
        <v>201000715</v>
      </c>
      <c r="D126" s="4" t="s">
        <v>153</v>
      </c>
      <c r="E126" s="4" t="str">
        <f>"015122010"</f>
        <v>015122010</v>
      </c>
      <c r="F126" s="10">
        <v>40142</v>
      </c>
      <c r="G126" s="11">
        <v>1000</v>
      </c>
      <c r="H126" s="11">
        <v>1000</v>
      </c>
      <c r="I126" s="4" t="s">
        <v>38</v>
      </c>
      <c r="J126" s="4" t="s">
        <v>39</v>
      </c>
      <c r="K126" s="11">
        <v>0</v>
      </c>
      <c r="L126" s="4"/>
      <c r="M126" s="4"/>
      <c r="N126" s="11">
        <v>0</v>
      </c>
      <c r="O126" s="4"/>
      <c r="P126" s="4"/>
      <c r="Q126" s="11">
        <v>0</v>
      </c>
      <c r="R126" s="4"/>
      <c r="S126" s="12"/>
    </row>
    <row r="127" spans="1:19" x14ac:dyDescent="0.25">
      <c r="A127" s="9" t="s">
        <v>150</v>
      </c>
      <c r="B127" s="9" t="s">
        <v>150</v>
      </c>
      <c r="C127" s="4">
        <v>201000909</v>
      </c>
      <c r="D127" s="4" t="s">
        <v>154</v>
      </c>
      <c r="E127" s="4" t="str">
        <f>"018082010"</f>
        <v>018082010</v>
      </c>
      <c r="F127" s="10">
        <v>40151</v>
      </c>
      <c r="G127" s="11">
        <v>3000</v>
      </c>
      <c r="H127" s="11">
        <v>3000</v>
      </c>
      <c r="I127" s="4" t="s">
        <v>155</v>
      </c>
      <c r="J127" s="4" t="s">
        <v>156</v>
      </c>
      <c r="K127" s="11">
        <v>0</v>
      </c>
      <c r="L127" s="4"/>
      <c r="M127" s="4"/>
      <c r="N127" s="11">
        <v>0</v>
      </c>
      <c r="O127" s="4"/>
      <c r="P127" s="4"/>
      <c r="Q127" s="11">
        <v>0</v>
      </c>
      <c r="R127" s="4"/>
      <c r="S127" s="12"/>
    </row>
    <row r="128" spans="1:19" x14ac:dyDescent="0.25">
      <c r="A128" s="9" t="s">
        <v>150</v>
      </c>
      <c r="B128" s="9" t="s">
        <v>291</v>
      </c>
      <c r="C128" s="4">
        <v>201001778</v>
      </c>
      <c r="D128" s="4" t="s">
        <v>157</v>
      </c>
      <c r="E128" s="4" t="str">
        <f>"035262010"</f>
        <v>035262010</v>
      </c>
      <c r="F128" s="10">
        <v>40213</v>
      </c>
      <c r="G128" s="11">
        <v>235000</v>
      </c>
      <c r="H128" s="11">
        <v>235000</v>
      </c>
      <c r="I128" s="4" t="s">
        <v>23</v>
      </c>
      <c r="J128" s="4" t="s">
        <v>24</v>
      </c>
      <c r="K128" s="11">
        <v>0</v>
      </c>
      <c r="L128" s="4"/>
      <c r="M128" s="4"/>
      <c r="N128" s="11">
        <v>0</v>
      </c>
      <c r="O128" s="4"/>
      <c r="P128" s="4"/>
      <c r="Q128" s="11">
        <v>0</v>
      </c>
      <c r="R128" s="4"/>
      <c r="S128" s="12"/>
    </row>
    <row r="129" spans="1:19" x14ac:dyDescent="0.25">
      <c r="A129" s="9" t="s">
        <v>150</v>
      </c>
      <c r="B129" s="9" t="s">
        <v>291</v>
      </c>
      <c r="C129" s="4">
        <v>201001782</v>
      </c>
      <c r="D129" s="4"/>
      <c r="E129" s="4" t="str">
        <f>"034602010"</f>
        <v>034602010</v>
      </c>
      <c r="F129" s="10">
        <v>40212</v>
      </c>
      <c r="G129" s="11">
        <v>3200</v>
      </c>
      <c r="H129" s="11">
        <v>3200</v>
      </c>
      <c r="I129" s="4" t="s">
        <v>23</v>
      </c>
      <c r="J129" s="4" t="s">
        <v>24</v>
      </c>
      <c r="K129" s="11">
        <v>0</v>
      </c>
      <c r="L129" s="4"/>
      <c r="M129" s="4"/>
      <c r="N129" s="11">
        <v>0</v>
      </c>
      <c r="O129" s="4"/>
      <c r="P129" s="4"/>
      <c r="Q129" s="11">
        <v>0</v>
      </c>
      <c r="R129" s="4"/>
      <c r="S129" s="12"/>
    </row>
    <row r="130" spans="1:19" x14ac:dyDescent="0.25">
      <c r="A130" s="9" t="s">
        <v>150</v>
      </c>
      <c r="B130" s="9" t="s">
        <v>291</v>
      </c>
      <c r="C130" s="4">
        <v>201003336</v>
      </c>
      <c r="D130" s="4" t="s">
        <v>158</v>
      </c>
      <c r="E130" s="4" t="str">
        <f>"067642010"</f>
        <v>067642010</v>
      </c>
      <c r="F130" s="10">
        <v>40310</v>
      </c>
      <c r="G130" s="11">
        <v>5000</v>
      </c>
      <c r="H130" s="11">
        <v>5000</v>
      </c>
      <c r="I130" s="4" t="s">
        <v>30</v>
      </c>
      <c r="J130" s="4" t="s">
        <v>31</v>
      </c>
      <c r="K130" s="11">
        <v>0</v>
      </c>
      <c r="L130" s="4"/>
      <c r="M130" s="4"/>
      <c r="N130" s="11">
        <v>0</v>
      </c>
      <c r="O130" s="4"/>
      <c r="P130" s="4"/>
      <c r="Q130" s="11">
        <v>0</v>
      </c>
      <c r="R130" s="4"/>
      <c r="S130" s="12"/>
    </row>
    <row r="131" spans="1:19" x14ac:dyDescent="0.25">
      <c r="A131" s="9" t="s">
        <v>150</v>
      </c>
      <c r="B131" s="9" t="s">
        <v>291</v>
      </c>
      <c r="C131" s="4">
        <v>201003392</v>
      </c>
      <c r="D131" s="4" t="s">
        <v>159</v>
      </c>
      <c r="E131" s="4" t="str">
        <f>"103392010"</f>
        <v>103392010</v>
      </c>
      <c r="F131" s="10">
        <v>40409</v>
      </c>
      <c r="G131" s="11">
        <v>40000</v>
      </c>
      <c r="H131" s="11">
        <v>40000</v>
      </c>
      <c r="I131" s="4" t="s">
        <v>38</v>
      </c>
      <c r="J131" s="4" t="s">
        <v>39</v>
      </c>
      <c r="K131" s="11">
        <v>0</v>
      </c>
      <c r="L131" s="4"/>
      <c r="M131" s="4"/>
      <c r="N131" s="11">
        <v>0</v>
      </c>
      <c r="O131" s="4"/>
      <c r="P131" s="4"/>
      <c r="Q131" s="11">
        <v>0</v>
      </c>
      <c r="R131" s="4"/>
      <c r="S131" s="12"/>
    </row>
    <row r="132" spans="1:19" x14ac:dyDescent="0.25">
      <c r="A132" s="9" t="s">
        <v>150</v>
      </c>
      <c r="B132" s="9" t="s">
        <v>291</v>
      </c>
      <c r="C132" s="4">
        <v>201003876</v>
      </c>
      <c r="D132" s="4" t="s">
        <v>160</v>
      </c>
      <c r="E132" s="4" t="str">
        <f>"077592010"</f>
        <v>077592010</v>
      </c>
      <c r="F132" s="10">
        <v>40340</v>
      </c>
      <c r="G132" s="11">
        <v>70000</v>
      </c>
      <c r="H132" s="11">
        <v>70000</v>
      </c>
      <c r="I132" s="4" t="s">
        <v>30</v>
      </c>
      <c r="J132" s="4" t="s">
        <v>31</v>
      </c>
      <c r="K132" s="11">
        <v>0</v>
      </c>
      <c r="L132" s="4"/>
      <c r="M132" s="4"/>
      <c r="N132" s="11">
        <v>0</v>
      </c>
      <c r="O132" s="4"/>
      <c r="P132" s="4"/>
      <c r="Q132" s="11">
        <v>0</v>
      </c>
      <c r="R132" s="4"/>
      <c r="S132" s="12"/>
    </row>
    <row r="133" spans="1:19" x14ac:dyDescent="0.25">
      <c r="A133" s="9" t="s">
        <v>150</v>
      </c>
      <c r="B133" s="9" t="s">
        <v>291</v>
      </c>
      <c r="C133" s="4">
        <v>201003901</v>
      </c>
      <c r="D133" s="4" t="s">
        <v>161</v>
      </c>
      <c r="E133" s="4" t="str">
        <f>"080182010"</f>
        <v>080182010</v>
      </c>
      <c r="F133" s="10">
        <v>40346</v>
      </c>
      <c r="G133" s="11">
        <v>27000</v>
      </c>
      <c r="H133" s="11">
        <v>27000</v>
      </c>
      <c r="I133" s="4" t="s">
        <v>23</v>
      </c>
      <c r="J133" s="4" t="s">
        <v>24</v>
      </c>
      <c r="K133" s="11">
        <v>0</v>
      </c>
      <c r="L133" s="4"/>
      <c r="M133" s="4"/>
      <c r="N133" s="11">
        <v>0</v>
      </c>
      <c r="O133" s="4"/>
      <c r="P133" s="4"/>
      <c r="Q133" s="11">
        <v>0</v>
      </c>
      <c r="R133" s="4"/>
      <c r="S133" s="12"/>
    </row>
    <row r="134" spans="1:19" x14ac:dyDescent="0.25">
      <c r="A134" s="9" t="s">
        <v>150</v>
      </c>
      <c r="B134" s="9" t="s">
        <v>291</v>
      </c>
      <c r="C134" s="4">
        <v>201004102</v>
      </c>
      <c r="D134" s="4" t="s">
        <v>162</v>
      </c>
      <c r="E134" s="4" t="str">
        <f>"093262010"</f>
        <v>093262010</v>
      </c>
      <c r="F134" s="10">
        <v>40374</v>
      </c>
      <c r="G134" s="11">
        <v>3500</v>
      </c>
      <c r="H134" s="11">
        <v>3500</v>
      </c>
      <c r="I134" s="4" t="s">
        <v>38</v>
      </c>
      <c r="J134" s="4" t="s">
        <v>39</v>
      </c>
      <c r="K134" s="11">
        <v>0</v>
      </c>
      <c r="L134" s="4"/>
      <c r="M134" s="4"/>
      <c r="N134" s="11">
        <v>0</v>
      </c>
      <c r="O134" s="4"/>
      <c r="P134" s="4"/>
      <c r="Q134" s="11">
        <v>0</v>
      </c>
      <c r="R134" s="4"/>
      <c r="S134" s="12"/>
    </row>
    <row r="135" spans="1:19" x14ac:dyDescent="0.25">
      <c r="A135" s="9" t="s">
        <v>150</v>
      </c>
      <c r="B135" s="9" t="s">
        <v>150</v>
      </c>
      <c r="C135" s="4">
        <v>201004155</v>
      </c>
      <c r="D135" s="4" t="s">
        <v>163</v>
      </c>
      <c r="E135" s="4" t="str">
        <f>"082272010"</f>
        <v>082272010</v>
      </c>
      <c r="F135" s="10">
        <v>40354</v>
      </c>
      <c r="G135" s="11">
        <v>12000</v>
      </c>
      <c r="H135" s="11">
        <v>12000</v>
      </c>
      <c r="I135" s="4" t="s">
        <v>38</v>
      </c>
      <c r="J135" s="4" t="s">
        <v>39</v>
      </c>
      <c r="K135" s="11">
        <v>0</v>
      </c>
      <c r="L135" s="4"/>
      <c r="M135" s="4"/>
      <c r="N135" s="11">
        <v>0</v>
      </c>
      <c r="O135" s="4"/>
      <c r="P135" s="4"/>
      <c r="Q135" s="11">
        <v>0</v>
      </c>
      <c r="R135" s="4"/>
      <c r="S135" s="12"/>
    </row>
    <row r="136" spans="1:19" x14ac:dyDescent="0.25">
      <c r="A136" s="9" t="s">
        <v>150</v>
      </c>
      <c r="B136" s="9" t="s">
        <v>291</v>
      </c>
      <c r="C136" s="4">
        <v>201004303</v>
      </c>
      <c r="D136" s="4" t="s">
        <v>164</v>
      </c>
      <c r="E136" s="4" t="str">
        <f>"084682010"</f>
        <v>084682010</v>
      </c>
      <c r="F136" s="10">
        <v>40354</v>
      </c>
      <c r="G136" s="11">
        <v>70000</v>
      </c>
      <c r="H136" s="11">
        <v>70000</v>
      </c>
      <c r="I136" s="4" t="s">
        <v>30</v>
      </c>
      <c r="J136" s="4" t="s">
        <v>31</v>
      </c>
      <c r="K136" s="11">
        <v>0</v>
      </c>
      <c r="L136" s="4"/>
      <c r="M136" s="4"/>
      <c r="N136" s="11">
        <v>0</v>
      </c>
      <c r="O136" s="4"/>
      <c r="P136" s="4"/>
      <c r="Q136" s="11">
        <v>0</v>
      </c>
      <c r="R136" s="4"/>
      <c r="S136" s="12"/>
    </row>
    <row r="137" spans="1:19" x14ac:dyDescent="0.25">
      <c r="A137" s="9" t="s">
        <v>150</v>
      </c>
      <c r="B137" s="9" t="s">
        <v>291</v>
      </c>
      <c r="C137" s="4">
        <v>201004308</v>
      </c>
      <c r="D137" s="4" t="s">
        <v>165</v>
      </c>
      <c r="E137" s="4" t="str">
        <f>"087642010"</f>
        <v>087642010</v>
      </c>
      <c r="F137" s="10">
        <v>40360</v>
      </c>
      <c r="G137" s="11">
        <v>2088.9499999999998</v>
      </c>
      <c r="H137" s="11">
        <v>0</v>
      </c>
      <c r="I137" s="4"/>
      <c r="J137" s="4"/>
      <c r="K137" s="11">
        <v>0</v>
      </c>
      <c r="L137" s="4"/>
      <c r="M137" s="4"/>
      <c r="N137" s="11">
        <v>2088.9499999999998</v>
      </c>
      <c r="O137" s="4" t="s">
        <v>56</v>
      </c>
      <c r="P137" s="4" t="s">
        <v>57</v>
      </c>
      <c r="Q137" s="11">
        <v>0</v>
      </c>
      <c r="R137" s="4"/>
      <c r="S137" s="12"/>
    </row>
    <row r="138" spans="1:19" x14ac:dyDescent="0.25">
      <c r="A138" s="9" t="s">
        <v>150</v>
      </c>
      <c r="B138" s="9" t="s">
        <v>291</v>
      </c>
      <c r="C138" s="4">
        <v>201004908</v>
      </c>
      <c r="D138" s="4" t="s">
        <v>166</v>
      </c>
      <c r="E138" s="4" t="str">
        <f>"104532010"</f>
        <v>104532010</v>
      </c>
      <c r="F138" s="10">
        <v>40413</v>
      </c>
      <c r="G138" s="11">
        <v>49837.97</v>
      </c>
      <c r="H138" s="11">
        <v>0</v>
      </c>
      <c r="I138" s="4"/>
      <c r="J138" s="4"/>
      <c r="K138" s="11">
        <v>49790.400000000001</v>
      </c>
      <c r="L138" s="4" t="s">
        <v>167</v>
      </c>
      <c r="M138" s="4" t="s">
        <v>168</v>
      </c>
      <c r="N138" s="11">
        <v>47.57</v>
      </c>
      <c r="O138" s="4" t="s">
        <v>167</v>
      </c>
      <c r="P138" s="4" t="s">
        <v>168</v>
      </c>
      <c r="Q138" s="11">
        <v>0</v>
      </c>
      <c r="R138" s="4"/>
      <c r="S138" s="12"/>
    </row>
    <row r="139" spans="1:19" x14ac:dyDescent="0.25">
      <c r="A139" s="9" t="s">
        <v>150</v>
      </c>
      <c r="B139" s="9" t="s">
        <v>291</v>
      </c>
      <c r="C139" s="4">
        <v>201005040</v>
      </c>
      <c r="D139" s="4" t="s">
        <v>169</v>
      </c>
      <c r="E139" s="4" t="str">
        <f>"102752010"</f>
        <v>102752010</v>
      </c>
      <c r="F139" s="10">
        <v>40408</v>
      </c>
      <c r="G139" s="11">
        <v>25000</v>
      </c>
      <c r="H139" s="11">
        <v>25000</v>
      </c>
      <c r="I139" s="4" t="s">
        <v>23</v>
      </c>
      <c r="J139" s="4" t="s">
        <v>24</v>
      </c>
      <c r="K139" s="11">
        <v>0</v>
      </c>
      <c r="L139" s="4"/>
      <c r="M139" s="4"/>
      <c r="N139" s="11">
        <v>0</v>
      </c>
      <c r="O139" s="4"/>
      <c r="P139" s="4"/>
      <c r="Q139" s="11">
        <v>0</v>
      </c>
      <c r="R139" s="4"/>
      <c r="S139" s="12"/>
    </row>
    <row r="140" spans="1:19" x14ac:dyDescent="0.25">
      <c r="A140" s="9" t="s">
        <v>150</v>
      </c>
      <c r="B140" s="9" t="s">
        <v>291</v>
      </c>
      <c r="C140" s="4">
        <v>201005072</v>
      </c>
      <c r="D140" s="4" t="s">
        <v>170</v>
      </c>
      <c r="E140" s="4" t="str">
        <f>"106112010"</f>
        <v>106112010</v>
      </c>
      <c r="F140" s="10">
        <v>40416</v>
      </c>
      <c r="G140" s="11">
        <v>300000</v>
      </c>
      <c r="H140" s="11">
        <v>300000</v>
      </c>
      <c r="I140" s="4" t="s">
        <v>38</v>
      </c>
      <c r="J140" s="4" t="s">
        <v>39</v>
      </c>
      <c r="K140" s="11">
        <v>0</v>
      </c>
      <c r="L140" s="4"/>
      <c r="M140" s="4"/>
      <c r="N140" s="11">
        <v>0</v>
      </c>
      <c r="O140" s="4"/>
      <c r="P140" s="4"/>
      <c r="Q140" s="11">
        <v>0</v>
      </c>
      <c r="R140" s="4"/>
      <c r="S140" s="12"/>
    </row>
    <row r="141" spans="1:19" x14ac:dyDescent="0.25">
      <c r="A141" s="9" t="s">
        <v>150</v>
      </c>
      <c r="B141" s="9" t="s">
        <v>291</v>
      </c>
      <c r="C141" s="4">
        <v>201005150</v>
      </c>
      <c r="D141" s="4" t="s">
        <v>171</v>
      </c>
      <c r="E141" s="4" t="str">
        <f>"101132010"</f>
        <v>101132010</v>
      </c>
      <c r="F141" s="10">
        <v>40407</v>
      </c>
      <c r="G141" s="11">
        <v>5000</v>
      </c>
      <c r="H141" s="11">
        <v>5000</v>
      </c>
      <c r="I141" s="4" t="s">
        <v>30</v>
      </c>
      <c r="J141" s="4" t="s">
        <v>31</v>
      </c>
      <c r="K141" s="11">
        <v>0</v>
      </c>
      <c r="L141" s="4"/>
      <c r="M141" s="4"/>
      <c r="N141" s="11">
        <v>0</v>
      </c>
      <c r="O141" s="4"/>
      <c r="P141" s="4"/>
      <c r="Q141" s="11">
        <v>0</v>
      </c>
      <c r="R141" s="4"/>
      <c r="S141" s="12"/>
    </row>
    <row r="142" spans="1:19" x14ac:dyDescent="0.25">
      <c r="A142" s="9" t="s">
        <v>150</v>
      </c>
      <c r="B142" s="9" t="s">
        <v>291</v>
      </c>
      <c r="C142" s="4">
        <v>201005243</v>
      </c>
      <c r="D142" s="4" t="s">
        <v>172</v>
      </c>
      <c r="E142" s="4" t="str">
        <f>"104972010"</f>
        <v>104972010</v>
      </c>
      <c r="F142" s="10">
        <v>40415</v>
      </c>
      <c r="G142" s="11">
        <v>15000</v>
      </c>
      <c r="H142" s="11">
        <v>15000</v>
      </c>
      <c r="I142" s="4" t="s">
        <v>23</v>
      </c>
      <c r="J142" s="4" t="s">
        <v>24</v>
      </c>
      <c r="K142" s="11">
        <v>0</v>
      </c>
      <c r="L142" s="4"/>
      <c r="M142" s="4"/>
      <c r="N142" s="11">
        <v>0</v>
      </c>
      <c r="O142" s="4"/>
      <c r="P142" s="4"/>
      <c r="Q142" s="11">
        <v>0</v>
      </c>
      <c r="R142" s="4"/>
      <c r="S142" s="12"/>
    </row>
    <row r="143" spans="1:19" x14ac:dyDescent="0.25">
      <c r="A143" s="9" t="s">
        <v>150</v>
      </c>
      <c r="B143" s="9" t="s">
        <v>291</v>
      </c>
      <c r="C143" s="4">
        <v>201005267</v>
      </c>
      <c r="D143" s="4" t="s">
        <v>173</v>
      </c>
      <c r="E143" s="4" t="str">
        <f>"112862010"</f>
        <v>112862010</v>
      </c>
      <c r="F143" s="10">
        <v>40443</v>
      </c>
      <c r="G143" s="11">
        <v>300000</v>
      </c>
      <c r="H143" s="11">
        <v>300000</v>
      </c>
      <c r="I143" s="4" t="s">
        <v>23</v>
      </c>
      <c r="J143" s="4" t="s">
        <v>24</v>
      </c>
      <c r="K143" s="11">
        <v>0</v>
      </c>
      <c r="L143" s="4"/>
      <c r="M143" s="4"/>
      <c r="N143" s="11">
        <v>0</v>
      </c>
      <c r="O143" s="4"/>
      <c r="P143" s="4"/>
      <c r="Q143" s="11">
        <v>0</v>
      </c>
      <c r="R143" s="4"/>
      <c r="S143" s="12"/>
    </row>
    <row r="144" spans="1:19" x14ac:dyDescent="0.25">
      <c r="A144" s="9" t="s">
        <v>150</v>
      </c>
      <c r="B144" s="9" t="s">
        <v>291</v>
      </c>
      <c r="C144" s="4">
        <v>201005340</v>
      </c>
      <c r="D144" s="4" t="s">
        <v>174</v>
      </c>
      <c r="E144" s="4" t="str">
        <f>"106802010"</f>
        <v>106802010</v>
      </c>
      <c r="F144" s="10">
        <v>40417</v>
      </c>
      <c r="G144" s="11">
        <v>5650</v>
      </c>
      <c r="H144" s="11">
        <v>5650</v>
      </c>
      <c r="I144" s="4" t="s">
        <v>23</v>
      </c>
      <c r="J144" s="4" t="s">
        <v>24</v>
      </c>
      <c r="K144" s="11">
        <v>0</v>
      </c>
      <c r="L144" s="4"/>
      <c r="M144" s="4"/>
      <c r="N144" s="11">
        <v>0</v>
      </c>
      <c r="O144" s="4"/>
      <c r="P144" s="4"/>
      <c r="Q144" s="11">
        <v>0</v>
      </c>
      <c r="R144" s="4"/>
      <c r="S144" s="12"/>
    </row>
    <row r="145" spans="1:19" x14ac:dyDescent="0.25">
      <c r="A145" s="9" t="s">
        <v>150</v>
      </c>
      <c r="B145" s="9" t="s">
        <v>291</v>
      </c>
      <c r="C145" s="4">
        <v>201005424</v>
      </c>
      <c r="D145" s="4" t="s">
        <v>175</v>
      </c>
      <c r="E145" s="4" t="str">
        <f>"107572010"</f>
        <v>107572010</v>
      </c>
      <c r="F145" s="10">
        <v>40423</v>
      </c>
      <c r="G145" s="11">
        <v>250000</v>
      </c>
      <c r="H145" s="11">
        <v>250000</v>
      </c>
      <c r="I145" s="4" t="s">
        <v>23</v>
      </c>
      <c r="J145" s="4" t="s">
        <v>24</v>
      </c>
      <c r="K145" s="11">
        <v>0</v>
      </c>
      <c r="L145" s="4"/>
      <c r="M145" s="4"/>
      <c r="N145" s="11">
        <v>0</v>
      </c>
      <c r="O145" s="4"/>
      <c r="P145" s="4"/>
      <c r="Q145" s="11">
        <v>0</v>
      </c>
      <c r="R145" s="4"/>
      <c r="S145" s="12"/>
    </row>
    <row r="146" spans="1:19" x14ac:dyDescent="0.25">
      <c r="A146" s="9" t="s">
        <v>150</v>
      </c>
      <c r="B146" s="9" t="s">
        <v>291</v>
      </c>
      <c r="C146" s="4">
        <v>201005571</v>
      </c>
      <c r="D146" s="4"/>
      <c r="E146" s="4" t="str">
        <f>"110892010"</f>
        <v>110892010</v>
      </c>
      <c r="F146" s="10">
        <v>40437</v>
      </c>
      <c r="G146" s="11">
        <v>350</v>
      </c>
      <c r="H146" s="11">
        <v>0</v>
      </c>
      <c r="I146" s="4"/>
      <c r="J146" s="4"/>
      <c r="K146" s="11">
        <v>0</v>
      </c>
      <c r="L146" s="4"/>
      <c r="M146" s="4"/>
      <c r="N146" s="11">
        <v>350</v>
      </c>
      <c r="O146" s="4" t="s">
        <v>56</v>
      </c>
      <c r="P146" s="4" t="s">
        <v>57</v>
      </c>
      <c r="Q146" s="11">
        <v>0</v>
      </c>
      <c r="R146" s="4"/>
      <c r="S146" s="12"/>
    </row>
    <row r="147" spans="1:19" x14ac:dyDescent="0.25">
      <c r="A147" s="9" t="s">
        <v>150</v>
      </c>
      <c r="B147" s="9" t="s">
        <v>291</v>
      </c>
      <c r="C147" s="4">
        <v>201005691</v>
      </c>
      <c r="D147" s="4" t="s">
        <v>176</v>
      </c>
      <c r="E147" s="4" t="str">
        <f>"115582010"</f>
        <v>115582010</v>
      </c>
      <c r="F147" s="10">
        <v>40450</v>
      </c>
      <c r="G147" s="11">
        <v>25000</v>
      </c>
      <c r="H147" s="11">
        <v>25000</v>
      </c>
      <c r="I147" s="4" t="s">
        <v>155</v>
      </c>
      <c r="J147" s="4" t="s">
        <v>156</v>
      </c>
      <c r="K147" s="11">
        <v>0</v>
      </c>
      <c r="L147" s="4"/>
      <c r="M147" s="4"/>
      <c r="N147" s="11">
        <v>0</v>
      </c>
      <c r="O147" s="4"/>
      <c r="P147" s="4"/>
      <c r="Q147" s="11">
        <v>0</v>
      </c>
      <c r="R147" s="4"/>
      <c r="S147" s="12"/>
    </row>
    <row r="148" spans="1:19" x14ac:dyDescent="0.25">
      <c r="A148" s="9" t="s">
        <v>177</v>
      </c>
      <c r="B148" s="9" t="s">
        <v>291</v>
      </c>
      <c r="C148" s="4">
        <v>201000079</v>
      </c>
      <c r="D148" s="4" t="s">
        <v>178</v>
      </c>
      <c r="E148" s="4" t="str">
        <f>"002062010"</f>
        <v>002062010</v>
      </c>
      <c r="F148" s="10">
        <v>40095</v>
      </c>
      <c r="G148" s="11">
        <v>92000</v>
      </c>
      <c r="H148" s="11">
        <v>92000</v>
      </c>
      <c r="I148" s="4" t="s">
        <v>179</v>
      </c>
      <c r="J148" s="4" t="s">
        <v>180</v>
      </c>
      <c r="K148" s="11">
        <v>0</v>
      </c>
      <c r="L148" s="4"/>
      <c r="M148" s="4"/>
      <c r="N148" s="11">
        <v>0</v>
      </c>
      <c r="O148" s="4"/>
      <c r="P148" s="4"/>
      <c r="Q148" s="11">
        <v>0</v>
      </c>
      <c r="R148" s="4"/>
      <c r="S148" s="12"/>
    </row>
    <row r="149" spans="1:19" x14ac:dyDescent="0.25">
      <c r="A149" s="9" t="s">
        <v>181</v>
      </c>
      <c r="B149" s="9" t="s">
        <v>291</v>
      </c>
      <c r="C149" s="4">
        <v>201000170</v>
      </c>
      <c r="D149" s="4" t="s">
        <v>182</v>
      </c>
      <c r="E149" s="4" t="str">
        <f>"005412010"</f>
        <v>005412010</v>
      </c>
      <c r="F149" s="10">
        <v>40108</v>
      </c>
      <c r="G149" s="11">
        <v>32000</v>
      </c>
      <c r="H149" s="11">
        <v>32000</v>
      </c>
      <c r="I149" s="4" t="s">
        <v>30</v>
      </c>
      <c r="J149" s="4" t="s">
        <v>31</v>
      </c>
      <c r="K149" s="11">
        <v>0</v>
      </c>
      <c r="L149" s="4"/>
      <c r="M149" s="4"/>
      <c r="N149" s="11">
        <v>0</v>
      </c>
      <c r="O149" s="4"/>
      <c r="P149" s="4"/>
      <c r="Q149" s="11">
        <v>0</v>
      </c>
      <c r="R149" s="4"/>
      <c r="S149" s="12"/>
    </row>
    <row r="150" spans="1:19" x14ac:dyDescent="0.25">
      <c r="A150" s="9" t="s">
        <v>181</v>
      </c>
      <c r="B150" s="9" t="s">
        <v>291</v>
      </c>
      <c r="C150" s="4">
        <v>201000544</v>
      </c>
      <c r="D150" s="4" t="s">
        <v>183</v>
      </c>
      <c r="E150" s="4" t="str">
        <f>"010192010"</f>
        <v>010192010</v>
      </c>
      <c r="F150" s="10">
        <v>40126</v>
      </c>
      <c r="G150" s="11">
        <v>94125.15</v>
      </c>
      <c r="H150" s="11">
        <v>94125.15</v>
      </c>
      <c r="I150" s="4" t="s">
        <v>23</v>
      </c>
      <c r="J150" s="4" t="s">
        <v>24</v>
      </c>
      <c r="K150" s="11">
        <v>0</v>
      </c>
      <c r="L150" s="4"/>
      <c r="M150" s="4"/>
      <c r="N150" s="11">
        <v>0</v>
      </c>
      <c r="O150" s="4"/>
      <c r="P150" s="4"/>
      <c r="Q150" s="11">
        <v>0</v>
      </c>
      <c r="R150" s="4"/>
      <c r="S150" s="12"/>
    </row>
    <row r="151" spans="1:19" x14ac:dyDescent="0.25">
      <c r="A151" s="9" t="s">
        <v>181</v>
      </c>
      <c r="B151" s="9" t="s">
        <v>291</v>
      </c>
      <c r="C151" s="4">
        <v>201001999</v>
      </c>
      <c r="D151" s="4" t="s">
        <v>184</v>
      </c>
      <c r="E151" s="4" t="str">
        <f>"040542010"</f>
        <v>040542010</v>
      </c>
      <c r="F151" s="10">
        <v>40233</v>
      </c>
      <c r="G151" s="11">
        <v>7685.11</v>
      </c>
      <c r="H151" s="11">
        <v>0</v>
      </c>
      <c r="I151" s="4"/>
      <c r="J151" s="4"/>
      <c r="K151" s="11">
        <v>0</v>
      </c>
      <c r="L151" s="4"/>
      <c r="M151" s="4"/>
      <c r="N151" s="11">
        <v>7685.11</v>
      </c>
      <c r="O151" s="4" t="s">
        <v>23</v>
      </c>
      <c r="P151" s="4" t="s">
        <v>24</v>
      </c>
      <c r="Q151" s="11">
        <v>0</v>
      </c>
      <c r="R151" s="4"/>
      <c r="S151" s="12"/>
    </row>
    <row r="152" spans="1:19" x14ac:dyDescent="0.25">
      <c r="A152" s="9" t="s">
        <v>185</v>
      </c>
      <c r="B152" s="9" t="s">
        <v>291</v>
      </c>
      <c r="C152" s="4">
        <v>201000457</v>
      </c>
      <c r="D152" s="4" t="s">
        <v>2534</v>
      </c>
      <c r="E152" s="4" t="str">
        <f>"010532010"</f>
        <v>010532010</v>
      </c>
      <c r="F152" s="10">
        <v>40126</v>
      </c>
      <c r="G152" s="11">
        <v>75000</v>
      </c>
      <c r="H152" s="11">
        <v>0</v>
      </c>
      <c r="I152" s="4"/>
      <c r="J152" s="4"/>
      <c r="K152" s="11">
        <v>75000</v>
      </c>
      <c r="L152" s="4" t="s">
        <v>30</v>
      </c>
      <c r="M152" s="4" t="s">
        <v>31</v>
      </c>
      <c r="N152" s="11">
        <v>0</v>
      </c>
      <c r="O152" s="4"/>
      <c r="P152" s="4"/>
      <c r="Q152" s="11">
        <v>0</v>
      </c>
      <c r="R152" s="4"/>
      <c r="S152" s="12"/>
    </row>
    <row r="153" spans="1:19" x14ac:dyDescent="0.25">
      <c r="A153" s="9" t="s">
        <v>185</v>
      </c>
      <c r="B153" s="9" t="s">
        <v>291</v>
      </c>
      <c r="C153" s="4">
        <v>201000457</v>
      </c>
      <c r="D153" s="4" t="s">
        <v>186</v>
      </c>
      <c r="E153" s="4" t="str">
        <f>"010552010"</f>
        <v>010552010</v>
      </c>
      <c r="F153" s="10">
        <v>40126</v>
      </c>
      <c r="G153" s="11">
        <v>7500</v>
      </c>
      <c r="H153" s="11">
        <v>7500</v>
      </c>
      <c r="I153" s="4" t="s">
        <v>30</v>
      </c>
      <c r="J153" s="4" t="s">
        <v>31</v>
      </c>
      <c r="K153" s="11">
        <v>0</v>
      </c>
      <c r="L153" s="4"/>
      <c r="M153" s="4"/>
      <c r="N153" s="11">
        <v>0</v>
      </c>
      <c r="O153" s="4"/>
      <c r="P153" s="4"/>
      <c r="Q153" s="11">
        <v>0</v>
      </c>
      <c r="R153" s="4"/>
      <c r="S153" s="12"/>
    </row>
    <row r="154" spans="1:19" x14ac:dyDescent="0.25">
      <c r="A154" s="9" t="s">
        <v>187</v>
      </c>
      <c r="B154" s="9" t="s">
        <v>291</v>
      </c>
      <c r="C154" s="4">
        <v>201000545</v>
      </c>
      <c r="D154" s="4"/>
      <c r="E154" s="4" t="str">
        <f>"022732010"</f>
        <v>022732010</v>
      </c>
      <c r="F154" s="10">
        <v>40164</v>
      </c>
      <c r="G154" s="11">
        <v>65070.79</v>
      </c>
      <c r="H154" s="11">
        <v>65070.79</v>
      </c>
      <c r="I154" s="4" t="s">
        <v>142</v>
      </c>
      <c r="J154" s="4" t="s">
        <v>143</v>
      </c>
      <c r="K154" s="11">
        <v>0</v>
      </c>
      <c r="L154" s="4"/>
      <c r="M154" s="4"/>
      <c r="N154" s="11">
        <v>0</v>
      </c>
      <c r="O154" s="4"/>
      <c r="P154" s="4"/>
      <c r="Q154" s="11">
        <v>0</v>
      </c>
      <c r="R154" s="4"/>
      <c r="S154" s="12"/>
    </row>
    <row r="155" spans="1:19" x14ac:dyDescent="0.25">
      <c r="A155" s="9" t="s">
        <v>187</v>
      </c>
      <c r="B155" s="9" t="s">
        <v>291</v>
      </c>
      <c r="C155" s="4">
        <v>201000659</v>
      </c>
      <c r="D155" s="4"/>
      <c r="E155" s="4" t="str">
        <f>"013052010"</f>
        <v>013052010</v>
      </c>
      <c r="F155" s="10">
        <v>40137</v>
      </c>
      <c r="G155" s="11">
        <v>150000</v>
      </c>
      <c r="H155" s="11">
        <v>150000</v>
      </c>
      <c r="I155" s="4" t="s">
        <v>142</v>
      </c>
      <c r="J155" s="4" t="s">
        <v>143</v>
      </c>
      <c r="K155" s="11">
        <v>0</v>
      </c>
      <c r="L155" s="4"/>
      <c r="M155" s="4"/>
      <c r="N155" s="11">
        <v>0</v>
      </c>
      <c r="O155" s="4"/>
      <c r="P155" s="4"/>
      <c r="Q155" s="11">
        <v>0</v>
      </c>
      <c r="R155" s="4"/>
      <c r="S155" s="12"/>
    </row>
    <row r="156" spans="1:19" x14ac:dyDescent="0.25">
      <c r="A156" s="9" t="s">
        <v>187</v>
      </c>
      <c r="B156" s="9" t="s">
        <v>291</v>
      </c>
      <c r="C156" s="4">
        <v>201002134</v>
      </c>
      <c r="D156" s="4" t="s">
        <v>188</v>
      </c>
      <c r="E156" s="4" t="str">
        <f>"044902010"</f>
        <v>044902010</v>
      </c>
      <c r="F156" s="10">
        <v>40242</v>
      </c>
      <c r="G156" s="11">
        <v>59752</v>
      </c>
      <c r="H156" s="11">
        <v>59752</v>
      </c>
      <c r="I156" s="4" t="s">
        <v>142</v>
      </c>
      <c r="J156" s="4" t="s">
        <v>143</v>
      </c>
      <c r="K156" s="11">
        <v>0</v>
      </c>
      <c r="L156" s="4"/>
      <c r="M156" s="4"/>
      <c r="N156" s="11">
        <v>0</v>
      </c>
      <c r="O156" s="4"/>
      <c r="P156" s="4"/>
      <c r="Q156" s="11">
        <v>0</v>
      </c>
      <c r="R156" s="4"/>
      <c r="S156" s="12"/>
    </row>
    <row r="157" spans="1:19" x14ac:dyDescent="0.25">
      <c r="A157" s="9" t="s">
        <v>189</v>
      </c>
      <c r="B157" s="9" t="s">
        <v>291</v>
      </c>
      <c r="C157" s="4">
        <v>201003131</v>
      </c>
      <c r="D157" s="4"/>
      <c r="E157" s="4" t="str">
        <f>"062622010"</f>
        <v>062622010</v>
      </c>
      <c r="F157" s="10">
        <v>40296</v>
      </c>
      <c r="G157" s="11">
        <v>950000</v>
      </c>
      <c r="H157" s="11">
        <v>950000</v>
      </c>
      <c r="I157" s="4" t="s">
        <v>142</v>
      </c>
      <c r="J157" s="4" t="s">
        <v>143</v>
      </c>
      <c r="K157" s="11">
        <v>0</v>
      </c>
      <c r="L157" s="4"/>
      <c r="M157" s="4"/>
      <c r="N157" s="11">
        <v>0</v>
      </c>
      <c r="O157" s="4"/>
      <c r="P157" s="4"/>
      <c r="Q157" s="11">
        <v>0</v>
      </c>
      <c r="R157" s="4"/>
      <c r="S157" s="12"/>
    </row>
    <row r="158" spans="1:19" x14ac:dyDescent="0.25">
      <c r="A158" s="9" t="s">
        <v>190</v>
      </c>
      <c r="B158" s="9" t="s">
        <v>291</v>
      </c>
      <c r="C158" s="4">
        <v>201005502</v>
      </c>
      <c r="D158" s="4"/>
      <c r="E158" s="4" t="str">
        <f>"112422010"</f>
        <v>112422010</v>
      </c>
      <c r="F158" s="10">
        <v>40443</v>
      </c>
      <c r="G158" s="11">
        <v>800000</v>
      </c>
      <c r="H158" s="11">
        <v>800000</v>
      </c>
      <c r="I158" s="4" t="s">
        <v>142</v>
      </c>
      <c r="J158" s="4" t="s">
        <v>143</v>
      </c>
      <c r="K158" s="11">
        <v>0</v>
      </c>
      <c r="L158" s="4"/>
      <c r="M158" s="4"/>
      <c r="N158" s="11">
        <v>0</v>
      </c>
      <c r="O158" s="4"/>
      <c r="P158" s="4"/>
      <c r="Q158" s="11">
        <v>0</v>
      </c>
      <c r="R158" s="4"/>
      <c r="S158" s="12"/>
    </row>
    <row r="159" spans="1:19" x14ac:dyDescent="0.25">
      <c r="A159" s="9" t="s">
        <v>191</v>
      </c>
      <c r="B159" s="9" t="s">
        <v>291</v>
      </c>
      <c r="C159" s="4">
        <v>201004097</v>
      </c>
      <c r="D159" s="4"/>
      <c r="E159" s="4" t="str">
        <f>"085762010"</f>
        <v>085762010</v>
      </c>
      <c r="F159" s="10">
        <v>40354</v>
      </c>
      <c r="G159" s="11">
        <v>76834.62</v>
      </c>
      <c r="H159" s="11">
        <v>76834.62</v>
      </c>
      <c r="I159" s="4" t="s">
        <v>142</v>
      </c>
      <c r="J159" s="4" t="s">
        <v>143</v>
      </c>
      <c r="K159" s="11">
        <v>0</v>
      </c>
      <c r="L159" s="4"/>
      <c r="M159" s="4"/>
      <c r="N159" s="11">
        <v>0</v>
      </c>
      <c r="O159" s="4"/>
      <c r="P159" s="4"/>
      <c r="Q159" s="11">
        <v>0</v>
      </c>
      <c r="R159" s="4"/>
      <c r="S159" s="12"/>
    </row>
    <row r="160" spans="1:19" x14ac:dyDescent="0.25">
      <c r="A160" s="9" t="s">
        <v>192</v>
      </c>
      <c r="B160" s="9" t="s">
        <v>291</v>
      </c>
      <c r="C160" s="4">
        <v>201000421</v>
      </c>
      <c r="D160" s="4" t="s">
        <v>193</v>
      </c>
      <c r="E160" s="4" t="str">
        <f>"007632010"</f>
        <v>007632010</v>
      </c>
      <c r="F160" s="10">
        <v>40119</v>
      </c>
      <c r="G160" s="11">
        <v>12000</v>
      </c>
      <c r="H160" s="11">
        <v>12000</v>
      </c>
      <c r="I160" s="4" t="s">
        <v>30</v>
      </c>
      <c r="J160" s="4" t="s">
        <v>31</v>
      </c>
      <c r="K160" s="11">
        <v>0</v>
      </c>
      <c r="L160" s="4"/>
      <c r="M160" s="4"/>
      <c r="N160" s="11">
        <v>0</v>
      </c>
      <c r="O160" s="4"/>
      <c r="P160" s="4"/>
      <c r="Q160" s="11">
        <v>0</v>
      </c>
      <c r="R160" s="4"/>
      <c r="S160" s="12"/>
    </row>
    <row r="161" spans="1:19" x14ac:dyDescent="0.25">
      <c r="A161" s="9" t="s">
        <v>192</v>
      </c>
      <c r="B161" s="9" t="s">
        <v>291</v>
      </c>
      <c r="C161" s="4">
        <v>201004424</v>
      </c>
      <c r="D161" s="4" t="s">
        <v>2534</v>
      </c>
      <c r="E161" s="4" t="str">
        <f>"089022010"</f>
        <v>089022010</v>
      </c>
      <c r="F161" s="10">
        <v>40366</v>
      </c>
      <c r="G161" s="11">
        <v>10000</v>
      </c>
      <c r="H161" s="11">
        <v>0</v>
      </c>
      <c r="I161" s="4"/>
      <c r="J161" s="4"/>
      <c r="K161" s="11">
        <v>10000</v>
      </c>
      <c r="L161" s="4" t="s">
        <v>30</v>
      </c>
      <c r="M161" s="4" t="s">
        <v>31</v>
      </c>
      <c r="N161" s="11">
        <v>0</v>
      </c>
      <c r="O161" s="4"/>
      <c r="P161" s="4"/>
      <c r="Q161" s="11">
        <v>0</v>
      </c>
      <c r="R161" s="4"/>
      <c r="S161" s="12"/>
    </row>
    <row r="162" spans="1:19" x14ac:dyDescent="0.25">
      <c r="A162" s="9" t="s">
        <v>192</v>
      </c>
      <c r="B162" s="9" t="s">
        <v>291</v>
      </c>
      <c r="C162" s="4">
        <v>201004424</v>
      </c>
      <c r="D162" s="4" t="s">
        <v>194</v>
      </c>
      <c r="E162" s="4" t="str">
        <f>"089002010"</f>
        <v>089002010</v>
      </c>
      <c r="F162" s="10">
        <v>40366</v>
      </c>
      <c r="G162" s="11">
        <v>20000</v>
      </c>
      <c r="H162" s="11">
        <v>20000</v>
      </c>
      <c r="I162" s="4" t="s">
        <v>30</v>
      </c>
      <c r="J162" s="4" t="s">
        <v>31</v>
      </c>
      <c r="K162" s="11">
        <v>0</v>
      </c>
      <c r="L162" s="4"/>
      <c r="M162" s="4"/>
      <c r="N162" s="11">
        <v>0</v>
      </c>
      <c r="O162" s="4"/>
      <c r="P162" s="4"/>
      <c r="Q162" s="11">
        <v>0</v>
      </c>
      <c r="R162" s="4"/>
      <c r="S162" s="12"/>
    </row>
    <row r="163" spans="1:19" x14ac:dyDescent="0.25">
      <c r="A163" s="9" t="s">
        <v>195</v>
      </c>
      <c r="B163" s="9" t="s">
        <v>291</v>
      </c>
      <c r="C163" s="4">
        <v>200905922</v>
      </c>
      <c r="D163" s="4"/>
      <c r="E163" s="4" t="str">
        <f>"087852009"</f>
        <v>087852009</v>
      </c>
      <c r="F163" s="10">
        <v>40092</v>
      </c>
      <c r="G163" s="11">
        <v>3007863.19</v>
      </c>
      <c r="H163" s="11">
        <v>3007863.19</v>
      </c>
      <c r="I163" s="4" t="s">
        <v>88</v>
      </c>
      <c r="J163" s="4" t="s">
        <v>89</v>
      </c>
      <c r="K163" s="11">
        <v>0</v>
      </c>
      <c r="L163" s="4"/>
      <c r="M163" s="4"/>
      <c r="N163" s="11">
        <v>0</v>
      </c>
      <c r="O163" s="4"/>
      <c r="P163" s="4"/>
      <c r="Q163" s="11">
        <v>0</v>
      </c>
      <c r="R163" s="4"/>
      <c r="S163" s="12"/>
    </row>
    <row r="164" spans="1:19" x14ac:dyDescent="0.25">
      <c r="A164" s="9" t="s">
        <v>195</v>
      </c>
      <c r="B164" s="9" t="s">
        <v>291</v>
      </c>
      <c r="C164" s="4">
        <v>201000092</v>
      </c>
      <c r="D164" s="4" t="s">
        <v>196</v>
      </c>
      <c r="E164" s="4" t="str">
        <f>"001422010"</f>
        <v>001422010</v>
      </c>
      <c r="F164" s="10">
        <v>40094</v>
      </c>
      <c r="G164" s="11">
        <v>50000</v>
      </c>
      <c r="H164" s="11">
        <v>50000</v>
      </c>
      <c r="I164" s="4" t="s">
        <v>197</v>
      </c>
      <c r="J164" s="4" t="s">
        <v>198</v>
      </c>
      <c r="K164" s="11">
        <v>0</v>
      </c>
      <c r="L164" s="4"/>
      <c r="M164" s="4"/>
      <c r="N164" s="11">
        <v>0</v>
      </c>
      <c r="O164" s="4"/>
      <c r="P164" s="4"/>
      <c r="Q164" s="11">
        <v>0</v>
      </c>
      <c r="R164" s="4"/>
      <c r="S164" s="12"/>
    </row>
    <row r="165" spans="1:19" x14ac:dyDescent="0.25">
      <c r="A165" s="9" t="s">
        <v>195</v>
      </c>
      <c r="B165" s="9" t="s">
        <v>291</v>
      </c>
      <c r="C165" s="4">
        <v>201000328</v>
      </c>
      <c r="D165" s="4" t="s">
        <v>199</v>
      </c>
      <c r="E165" s="4" t="str">
        <f>"005872010"</f>
        <v>005872010</v>
      </c>
      <c r="F165" s="10">
        <v>40112</v>
      </c>
      <c r="G165" s="11">
        <v>174193.74</v>
      </c>
      <c r="H165" s="11">
        <v>0</v>
      </c>
      <c r="I165" s="4"/>
      <c r="J165" s="4"/>
      <c r="K165" s="11">
        <v>174193.74</v>
      </c>
      <c r="L165" s="4" t="s">
        <v>197</v>
      </c>
      <c r="M165" s="4" t="s">
        <v>198</v>
      </c>
      <c r="N165" s="11">
        <v>0</v>
      </c>
      <c r="O165" s="4"/>
      <c r="P165" s="4"/>
      <c r="Q165" s="11">
        <v>0</v>
      </c>
      <c r="R165" s="4"/>
      <c r="S165" s="12"/>
    </row>
    <row r="166" spans="1:19" x14ac:dyDescent="0.25">
      <c r="A166" s="9" t="s">
        <v>195</v>
      </c>
      <c r="B166" s="9" t="s">
        <v>291</v>
      </c>
      <c r="C166" s="4">
        <v>201000601</v>
      </c>
      <c r="D166" s="4" t="s">
        <v>200</v>
      </c>
      <c r="E166" s="4" t="str">
        <f>"011192010"</f>
        <v>011192010</v>
      </c>
      <c r="F166" s="10">
        <v>40129</v>
      </c>
      <c r="G166" s="11">
        <v>12500</v>
      </c>
      <c r="H166" s="11">
        <v>12500</v>
      </c>
      <c r="I166" s="4" t="s">
        <v>23</v>
      </c>
      <c r="J166" s="4" t="s">
        <v>24</v>
      </c>
      <c r="K166" s="11">
        <v>0</v>
      </c>
      <c r="L166" s="4"/>
      <c r="M166" s="4"/>
      <c r="N166" s="11">
        <v>0</v>
      </c>
      <c r="O166" s="4"/>
      <c r="P166" s="4"/>
      <c r="Q166" s="11">
        <v>0</v>
      </c>
      <c r="R166" s="4"/>
      <c r="S166" s="12"/>
    </row>
    <row r="167" spans="1:19" x14ac:dyDescent="0.25">
      <c r="A167" s="9" t="s">
        <v>195</v>
      </c>
      <c r="B167" s="9" t="s">
        <v>291</v>
      </c>
      <c r="C167" s="4">
        <v>201000732</v>
      </c>
      <c r="D167" s="4" t="s">
        <v>201</v>
      </c>
      <c r="E167" s="4" t="str">
        <f>"015042010"</f>
        <v>015042010</v>
      </c>
      <c r="F167" s="10">
        <v>40142</v>
      </c>
      <c r="G167" s="11">
        <v>55000</v>
      </c>
      <c r="H167" s="11">
        <v>55000</v>
      </c>
      <c r="I167" s="4" t="s">
        <v>23</v>
      </c>
      <c r="J167" s="4" t="s">
        <v>24</v>
      </c>
      <c r="K167" s="11">
        <v>0</v>
      </c>
      <c r="L167" s="4"/>
      <c r="M167" s="4"/>
      <c r="N167" s="11">
        <v>0</v>
      </c>
      <c r="O167" s="4"/>
      <c r="P167" s="4"/>
      <c r="Q167" s="11">
        <v>0</v>
      </c>
      <c r="R167" s="4"/>
      <c r="S167" s="12"/>
    </row>
    <row r="168" spans="1:19" x14ac:dyDescent="0.25">
      <c r="A168" s="9" t="s">
        <v>195</v>
      </c>
      <c r="B168" s="9" t="s">
        <v>291</v>
      </c>
      <c r="C168" s="4">
        <v>201000758</v>
      </c>
      <c r="D168" s="4" t="s">
        <v>202</v>
      </c>
      <c r="E168" s="4" t="str">
        <f>"014242010"</f>
        <v>014242010</v>
      </c>
      <c r="F168" s="10">
        <v>40141</v>
      </c>
      <c r="G168" s="11">
        <v>45000</v>
      </c>
      <c r="H168" s="11">
        <v>45000</v>
      </c>
      <c r="I168" s="4" t="s">
        <v>30</v>
      </c>
      <c r="J168" s="4" t="s">
        <v>31</v>
      </c>
      <c r="K168" s="11">
        <v>0</v>
      </c>
      <c r="L168" s="4"/>
      <c r="M168" s="4"/>
      <c r="N168" s="11">
        <v>0</v>
      </c>
      <c r="O168" s="4"/>
      <c r="P168" s="4"/>
      <c r="Q168" s="11">
        <v>0</v>
      </c>
      <c r="R168" s="4"/>
      <c r="S168" s="12"/>
    </row>
    <row r="169" spans="1:19" x14ac:dyDescent="0.25">
      <c r="A169" s="9" t="s">
        <v>195</v>
      </c>
      <c r="B169" s="9" t="s">
        <v>291</v>
      </c>
      <c r="C169" s="4">
        <v>201000885</v>
      </c>
      <c r="D169" s="4" t="s">
        <v>203</v>
      </c>
      <c r="E169" s="4" t="str">
        <f>"016882010"</f>
        <v>016882010</v>
      </c>
      <c r="F169" s="10">
        <v>40149</v>
      </c>
      <c r="G169" s="11">
        <v>217395.23</v>
      </c>
      <c r="H169" s="11">
        <v>0</v>
      </c>
      <c r="I169" s="4"/>
      <c r="J169" s="4"/>
      <c r="K169" s="11">
        <v>217395.23</v>
      </c>
      <c r="L169" s="4" t="s">
        <v>197</v>
      </c>
      <c r="M169" s="4" t="s">
        <v>198</v>
      </c>
      <c r="N169" s="11">
        <v>0</v>
      </c>
      <c r="O169" s="4"/>
      <c r="P169" s="4"/>
      <c r="Q169" s="11">
        <v>0</v>
      </c>
      <c r="R169" s="4"/>
      <c r="S169" s="12"/>
    </row>
    <row r="170" spans="1:19" x14ac:dyDescent="0.25">
      <c r="A170" s="9" t="s">
        <v>195</v>
      </c>
      <c r="B170" s="9" t="s">
        <v>291</v>
      </c>
      <c r="C170" s="4">
        <v>201001002</v>
      </c>
      <c r="D170" s="4" t="s">
        <v>204</v>
      </c>
      <c r="E170" s="4" t="str">
        <f>"019072010"</f>
        <v>019072010</v>
      </c>
      <c r="F170" s="10">
        <v>40155</v>
      </c>
      <c r="G170" s="11">
        <v>182267</v>
      </c>
      <c r="H170" s="11">
        <v>0</v>
      </c>
      <c r="I170" s="4"/>
      <c r="J170" s="4"/>
      <c r="K170" s="11">
        <v>182267</v>
      </c>
      <c r="L170" s="4" t="s">
        <v>197</v>
      </c>
      <c r="M170" s="4" t="s">
        <v>198</v>
      </c>
      <c r="N170" s="11">
        <v>0</v>
      </c>
      <c r="O170" s="4"/>
      <c r="P170" s="4"/>
      <c r="Q170" s="11">
        <v>0</v>
      </c>
      <c r="R170" s="4"/>
      <c r="S170" s="12"/>
    </row>
    <row r="171" spans="1:19" x14ac:dyDescent="0.25">
      <c r="A171" s="9" t="s">
        <v>195</v>
      </c>
      <c r="B171" s="9" t="s">
        <v>291</v>
      </c>
      <c r="C171" s="4">
        <v>201001166</v>
      </c>
      <c r="D171" s="4" t="s">
        <v>205</v>
      </c>
      <c r="E171" s="4" t="str">
        <f>"025972010"</f>
        <v>025972010</v>
      </c>
      <c r="F171" s="10">
        <v>40186</v>
      </c>
      <c r="G171" s="11">
        <v>12539.99</v>
      </c>
      <c r="H171" s="11">
        <v>12539.99</v>
      </c>
      <c r="I171" s="4" t="s">
        <v>23</v>
      </c>
      <c r="J171" s="4" t="s">
        <v>24</v>
      </c>
      <c r="K171" s="11">
        <v>0</v>
      </c>
      <c r="L171" s="4"/>
      <c r="M171" s="4"/>
      <c r="N171" s="11">
        <v>0</v>
      </c>
      <c r="O171" s="4"/>
      <c r="P171" s="4"/>
      <c r="Q171" s="11">
        <v>0</v>
      </c>
      <c r="R171" s="4"/>
      <c r="S171" s="12"/>
    </row>
    <row r="172" spans="1:19" x14ac:dyDescent="0.25">
      <c r="A172" s="9" t="s">
        <v>195</v>
      </c>
      <c r="B172" s="9" t="s">
        <v>291</v>
      </c>
      <c r="C172" s="4">
        <v>201001166</v>
      </c>
      <c r="D172" s="4" t="s">
        <v>205</v>
      </c>
      <c r="E172" s="4" t="str">
        <f>"025992010"</f>
        <v>025992010</v>
      </c>
      <c r="F172" s="10">
        <v>40186</v>
      </c>
      <c r="G172" s="11">
        <v>30000</v>
      </c>
      <c r="H172" s="11">
        <v>30000</v>
      </c>
      <c r="I172" s="4" t="s">
        <v>23</v>
      </c>
      <c r="J172" s="4" t="s">
        <v>24</v>
      </c>
      <c r="K172" s="11">
        <v>0</v>
      </c>
      <c r="L172" s="4"/>
      <c r="M172" s="4"/>
      <c r="N172" s="11">
        <v>0</v>
      </c>
      <c r="O172" s="4"/>
      <c r="P172" s="4"/>
      <c r="Q172" s="11">
        <v>0</v>
      </c>
      <c r="R172" s="4"/>
      <c r="S172" s="12"/>
    </row>
    <row r="173" spans="1:19" x14ac:dyDescent="0.25">
      <c r="A173" s="9" t="s">
        <v>195</v>
      </c>
      <c r="B173" s="9" t="s">
        <v>291</v>
      </c>
      <c r="C173" s="4">
        <v>201001377</v>
      </c>
      <c r="D173" s="4"/>
      <c r="E173" s="4" t="str">
        <f>"026532010"</f>
        <v>026532010</v>
      </c>
      <c r="F173" s="10">
        <v>40185</v>
      </c>
      <c r="G173" s="11">
        <v>85000</v>
      </c>
      <c r="H173" s="11">
        <v>85000</v>
      </c>
      <c r="I173" s="4" t="s">
        <v>197</v>
      </c>
      <c r="J173" s="4" t="s">
        <v>198</v>
      </c>
      <c r="K173" s="11">
        <v>0</v>
      </c>
      <c r="L173" s="4"/>
      <c r="M173" s="4"/>
      <c r="N173" s="11">
        <v>0</v>
      </c>
      <c r="O173" s="4"/>
      <c r="P173" s="4"/>
      <c r="Q173" s="11">
        <v>0</v>
      </c>
      <c r="R173" s="4"/>
      <c r="S173" s="12"/>
    </row>
    <row r="174" spans="1:19" x14ac:dyDescent="0.25">
      <c r="A174" s="9" t="s">
        <v>195</v>
      </c>
      <c r="B174" s="9" t="s">
        <v>291</v>
      </c>
      <c r="C174" s="4">
        <v>201001664</v>
      </c>
      <c r="D174" s="4" t="s">
        <v>206</v>
      </c>
      <c r="E174" s="4" t="str">
        <f>"032402010"</f>
        <v>032402010</v>
      </c>
      <c r="F174" s="10">
        <v>40205</v>
      </c>
      <c r="G174" s="11">
        <v>2955.7</v>
      </c>
      <c r="H174" s="11">
        <v>0</v>
      </c>
      <c r="I174" s="4"/>
      <c r="J174" s="4"/>
      <c r="K174" s="11">
        <v>2955.7</v>
      </c>
      <c r="L174" s="4" t="s">
        <v>197</v>
      </c>
      <c r="M174" s="4" t="s">
        <v>198</v>
      </c>
      <c r="N174" s="11">
        <v>0</v>
      </c>
      <c r="O174" s="4"/>
      <c r="P174" s="4"/>
      <c r="Q174" s="11">
        <v>0</v>
      </c>
      <c r="R174" s="4"/>
      <c r="S174" s="12"/>
    </row>
    <row r="175" spans="1:19" x14ac:dyDescent="0.25">
      <c r="A175" s="9" t="s">
        <v>195</v>
      </c>
      <c r="B175" s="9" t="s">
        <v>291</v>
      </c>
      <c r="C175" s="4">
        <v>201001755</v>
      </c>
      <c r="D175" s="4" t="s">
        <v>207</v>
      </c>
      <c r="E175" s="4" t="str">
        <f>"034222010"</f>
        <v>034222010</v>
      </c>
      <c r="F175" s="10">
        <v>40204</v>
      </c>
      <c r="G175" s="11">
        <v>37500</v>
      </c>
      <c r="H175" s="11">
        <v>37500</v>
      </c>
      <c r="I175" s="4" t="s">
        <v>197</v>
      </c>
      <c r="J175" s="4" t="s">
        <v>198</v>
      </c>
      <c r="K175" s="11">
        <v>0</v>
      </c>
      <c r="L175" s="4"/>
      <c r="M175" s="4"/>
      <c r="N175" s="11">
        <v>0</v>
      </c>
      <c r="O175" s="4"/>
      <c r="P175" s="4"/>
      <c r="Q175" s="11">
        <v>0</v>
      </c>
      <c r="R175" s="4"/>
      <c r="S175" s="12"/>
    </row>
    <row r="176" spans="1:19" x14ac:dyDescent="0.25">
      <c r="A176" s="9" t="s">
        <v>195</v>
      </c>
      <c r="B176" s="9" t="s">
        <v>291</v>
      </c>
      <c r="C176" s="4">
        <v>201001863</v>
      </c>
      <c r="D176" s="4" t="s">
        <v>208</v>
      </c>
      <c r="E176" s="4" t="str">
        <f>"043952010"</f>
        <v>043952010</v>
      </c>
      <c r="F176" s="10">
        <v>40241</v>
      </c>
      <c r="G176" s="11">
        <v>6394581</v>
      </c>
      <c r="H176" s="11">
        <v>6394581</v>
      </c>
      <c r="I176" s="4" t="s">
        <v>197</v>
      </c>
      <c r="J176" s="4" t="s">
        <v>198</v>
      </c>
      <c r="K176" s="11">
        <v>0</v>
      </c>
      <c r="L176" s="4"/>
      <c r="M176" s="4"/>
      <c r="N176" s="11">
        <v>0</v>
      </c>
      <c r="O176" s="4"/>
      <c r="P176" s="4"/>
      <c r="Q176" s="11">
        <v>0</v>
      </c>
      <c r="R176" s="4"/>
      <c r="S176" s="12"/>
    </row>
    <row r="177" spans="1:19" x14ac:dyDescent="0.25">
      <c r="A177" s="9" t="s">
        <v>195</v>
      </c>
      <c r="B177" s="9" t="s">
        <v>291</v>
      </c>
      <c r="C177" s="4">
        <v>201001863</v>
      </c>
      <c r="D177" s="4" t="s">
        <v>208</v>
      </c>
      <c r="E177" s="4" t="str">
        <f>"043972010"</f>
        <v>043972010</v>
      </c>
      <c r="F177" s="10">
        <v>40241</v>
      </c>
      <c r="G177" s="11">
        <v>6394581</v>
      </c>
      <c r="H177" s="11">
        <v>6394581</v>
      </c>
      <c r="I177" s="4" t="s">
        <v>197</v>
      </c>
      <c r="J177" s="4" t="s">
        <v>198</v>
      </c>
      <c r="K177" s="11">
        <v>0</v>
      </c>
      <c r="L177" s="4"/>
      <c r="M177" s="4"/>
      <c r="N177" s="11">
        <v>0</v>
      </c>
      <c r="O177" s="4"/>
      <c r="P177" s="4"/>
      <c r="Q177" s="11">
        <v>0</v>
      </c>
      <c r="R177" s="4"/>
      <c r="S177" s="12"/>
    </row>
    <row r="178" spans="1:19" x14ac:dyDescent="0.25">
      <c r="A178" s="9" t="s">
        <v>195</v>
      </c>
      <c r="B178" s="9" t="s">
        <v>291</v>
      </c>
      <c r="C178" s="4">
        <v>201001988</v>
      </c>
      <c r="D178" s="4" t="s">
        <v>207</v>
      </c>
      <c r="E178" s="4" t="str">
        <f>"039442010"</f>
        <v>039442010</v>
      </c>
      <c r="F178" s="10">
        <v>40232</v>
      </c>
      <c r="G178" s="11">
        <v>150000</v>
      </c>
      <c r="H178" s="11">
        <v>150000</v>
      </c>
      <c r="I178" s="4" t="s">
        <v>197</v>
      </c>
      <c r="J178" s="4" t="s">
        <v>198</v>
      </c>
      <c r="K178" s="11">
        <v>0</v>
      </c>
      <c r="L178" s="4"/>
      <c r="M178" s="4"/>
      <c r="N178" s="11">
        <v>0</v>
      </c>
      <c r="O178" s="4"/>
      <c r="P178" s="4"/>
      <c r="Q178" s="11">
        <v>0</v>
      </c>
      <c r="R178" s="4"/>
      <c r="S178" s="12"/>
    </row>
    <row r="179" spans="1:19" x14ac:dyDescent="0.25">
      <c r="A179" s="9" t="s">
        <v>195</v>
      </c>
      <c r="B179" s="9" t="s">
        <v>291</v>
      </c>
      <c r="C179" s="4">
        <v>201002115</v>
      </c>
      <c r="D179" s="4" t="s">
        <v>207</v>
      </c>
      <c r="E179" s="4" t="str">
        <f>"041002010"</f>
        <v>041002010</v>
      </c>
      <c r="F179" s="10">
        <v>40233</v>
      </c>
      <c r="G179" s="11">
        <v>137500</v>
      </c>
      <c r="H179" s="11">
        <v>137500</v>
      </c>
      <c r="I179" s="4" t="s">
        <v>197</v>
      </c>
      <c r="J179" s="4" t="s">
        <v>198</v>
      </c>
      <c r="K179" s="11">
        <v>0</v>
      </c>
      <c r="L179" s="4"/>
      <c r="M179" s="4"/>
      <c r="N179" s="11">
        <v>0</v>
      </c>
      <c r="O179" s="4"/>
      <c r="P179" s="4"/>
      <c r="Q179" s="11">
        <v>0</v>
      </c>
      <c r="R179" s="4"/>
      <c r="S179" s="12"/>
    </row>
    <row r="180" spans="1:19" x14ac:dyDescent="0.25">
      <c r="A180" s="9" t="s">
        <v>195</v>
      </c>
      <c r="B180" s="9" t="s">
        <v>291</v>
      </c>
      <c r="C180" s="4">
        <v>201002116</v>
      </c>
      <c r="D180" s="4" t="s">
        <v>209</v>
      </c>
      <c r="E180" s="4" t="str">
        <f>"041062010"</f>
        <v>041062010</v>
      </c>
      <c r="F180" s="10">
        <v>40233</v>
      </c>
      <c r="G180" s="11">
        <v>656375.62</v>
      </c>
      <c r="H180" s="11">
        <v>656375.62</v>
      </c>
      <c r="I180" s="4" t="s">
        <v>197</v>
      </c>
      <c r="J180" s="4" t="s">
        <v>198</v>
      </c>
      <c r="K180" s="11">
        <v>0</v>
      </c>
      <c r="L180" s="4"/>
      <c r="M180" s="4"/>
      <c r="N180" s="11">
        <v>0</v>
      </c>
      <c r="O180" s="4"/>
      <c r="P180" s="4"/>
      <c r="Q180" s="11">
        <v>0</v>
      </c>
      <c r="R180" s="4"/>
      <c r="S180" s="12"/>
    </row>
    <row r="181" spans="1:19" x14ac:dyDescent="0.25">
      <c r="A181" s="9" t="s">
        <v>195</v>
      </c>
      <c r="B181" s="9" t="s">
        <v>291</v>
      </c>
      <c r="C181" s="4">
        <v>201002117</v>
      </c>
      <c r="D181" s="4" t="s">
        <v>207</v>
      </c>
      <c r="E181" s="4" t="str">
        <f>"041502010"</f>
        <v>041502010</v>
      </c>
      <c r="F181" s="10">
        <v>40234</v>
      </c>
      <c r="G181" s="11">
        <v>1312500</v>
      </c>
      <c r="H181" s="11">
        <v>1312500</v>
      </c>
      <c r="I181" s="4" t="s">
        <v>197</v>
      </c>
      <c r="J181" s="4" t="s">
        <v>198</v>
      </c>
      <c r="K181" s="11">
        <v>0</v>
      </c>
      <c r="L181" s="4"/>
      <c r="M181" s="4"/>
      <c r="N181" s="11">
        <v>0</v>
      </c>
      <c r="O181" s="4"/>
      <c r="P181" s="4"/>
      <c r="Q181" s="11">
        <v>0</v>
      </c>
      <c r="R181" s="4"/>
      <c r="S181" s="12"/>
    </row>
    <row r="182" spans="1:19" x14ac:dyDescent="0.25">
      <c r="A182" s="9" t="s">
        <v>195</v>
      </c>
      <c r="B182" s="9" t="s">
        <v>291</v>
      </c>
      <c r="C182" s="4">
        <v>201002169</v>
      </c>
      <c r="D182" s="4" t="s">
        <v>210</v>
      </c>
      <c r="E182" s="4" t="str">
        <f>"042352010"</f>
        <v>042352010</v>
      </c>
      <c r="F182" s="10">
        <v>40246</v>
      </c>
      <c r="G182" s="11">
        <v>50000</v>
      </c>
      <c r="H182" s="11">
        <v>50000</v>
      </c>
      <c r="I182" s="4" t="s">
        <v>197</v>
      </c>
      <c r="J182" s="4" t="s">
        <v>198</v>
      </c>
      <c r="K182" s="11">
        <v>0</v>
      </c>
      <c r="L182" s="4"/>
      <c r="M182" s="4"/>
      <c r="N182" s="11">
        <v>0</v>
      </c>
      <c r="O182" s="4"/>
      <c r="P182" s="4"/>
      <c r="Q182" s="11">
        <v>0</v>
      </c>
      <c r="R182" s="4"/>
      <c r="S182" s="12"/>
    </row>
    <row r="183" spans="1:19" x14ac:dyDescent="0.25">
      <c r="A183" s="9" t="s">
        <v>195</v>
      </c>
      <c r="B183" s="9" t="s">
        <v>291</v>
      </c>
      <c r="C183" s="4">
        <v>201002428</v>
      </c>
      <c r="D183" s="4"/>
      <c r="E183" s="4" t="str">
        <f>"048702010"</f>
        <v>048702010</v>
      </c>
      <c r="F183" s="10">
        <v>40259</v>
      </c>
      <c r="G183" s="11">
        <v>12500</v>
      </c>
      <c r="H183" s="11">
        <v>12500</v>
      </c>
      <c r="I183" s="4" t="s">
        <v>30</v>
      </c>
      <c r="J183" s="4" t="s">
        <v>31</v>
      </c>
      <c r="K183" s="11">
        <v>0</v>
      </c>
      <c r="L183" s="4"/>
      <c r="M183" s="4"/>
      <c r="N183" s="11">
        <v>0</v>
      </c>
      <c r="O183" s="4"/>
      <c r="P183" s="4"/>
      <c r="Q183" s="11">
        <v>0</v>
      </c>
      <c r="R183" s="4"/>
      <c r="S183" s="12"/>
    </row>
    <row r="184" spans="1:19" x14ac:dyDescent="0.25">
      <c r="A184" s="9" t="s">
        <v>195</v>
      </c>
      <c r="B184" s="9" t="s">
        <v>291</v>
      </c>
      <c r="C184" s="4">
        <v>201002540</v>
      </c>
      <c r="D184" s="4" t="s">
        <v>206</v>
      </c>
      <c r="E184" s="4" t="str">
        <f>"050502010"</f>
        <v>050502010</v>
      </c>
      <c r="F184" s="10">
        <v>40262</v>
      </c>
      <c r="G184" s="11">
        <v>5750</v>
      </c>
      <c r="H184" s="11">
        <v>0</v>
      </c>
      <c r="I184" s="4"/>
      <c r="J184" s="4"/>
      <c r="K184" s="11">
        <v>5750</v>
      </c>
      <c r="L184" s="4" t="s">
        <v>197</v>
      </c>
      <c r="M184" s="4" t="s">
        <v>198</v>
      </c>
      <c r="N184" s="11">
        <v>0</v>
      </c>
      <c r="O184" s="4"/>
      <c r="P184" s="4"/>
      <c r="Q184" s="11">
        <v>0</v>
      </c>
      <c r="R184" s="4"/>
      <c r="S184" s="12"/>
    </row>
    <row r="185" spans="1:19" x14ac:dyDescent="0.25">
      <c r="A185" s="9" t="s">
        <v>195</v>
      </c>
      <c r="B185" s="9" t="s">
        <v>291</v>
      </c>
      <c r="C185" s="4">
        <v>201002642</v>
      </c>
      <c r="D185" s="4" t="s">
        <v>204</v>
      </c>
      <c r="E185" s="4" t="str">
        <f>"052322010"</f>
        <v>052322010</v>
      </c>
      <c r="F185" s="10">
        <v>40266</v>
      </c>
      <c r="G185" s="11">
        <v>126138</v>
      </c>
      <c r="H185" s="11">
        <v>0</v>
      </c>
      <c r="I185" s="4"/>
      <c r="J185" s="4"/>
      <c r="K185" s="11">
        <v>126138</v>
      </c>
      <c r="L185" s="4" t="s">
        <v>197</v>
      </c>
      <c r="M185" s="4" t="s">
        <v>198</v>
      </c>
      <c r="N185" s="11">
        <v>0</v>
      </c>
      <c r="O185" s="4"/>
      <c r="P185" s="4"/>
      <c r="Q185" s="11">
        <v>0</v>
      </c>
      <c r="R185" s="4"/>
      <c r="S185" s="12"/>
    </row>
    <row r="186" spans="1:19" x14ac:dyDescent="0.25">
      <c r="A186" s="9" t="s">
        <v>195</v>
      </c>
      <c r="B186" s="9" t="s">
        <v>291</v>
      </c>
      <c r="C186" s="4">
        <v>201002715</v>
      </c>
      <c r="D186" s="4" t="s">
        <v>211</v>
      </c>
      <c r="E186" s="4" t="str">
        <f>"053902010"</f>
        <v>053902010</v>
      </c>
      <c r="F186" s="10">
        <v>40270</v>
      </c>
      <c r="G186" s="11">
        <v>150899.95000000001</v>
      </c>
      <c r="H186" s="11">
        <v>149383.54999999999</v>
      </c>
      <c r="I186" s="4" t="s">
        <v>38</v>
      </c>
      <c r="J186" s="4" t="s">
        <v>39</v>
      </c>
      <c r="K186" s="11">
        <v>0</v>
      </c>
      <c r="L186" s="4"/>
      <c r="M186" s="4"/>
      <c r="N186" s="11">
        <v>1516.4</v>
      </c>
      <c r="O186" s="4" t="s">
        <v>38</v>
      </c>
      <c r="P186" s="4" t="s">
        <v>39</v>
      </c>
      <c r="Q186" s="11">
        <v>0</v>
      </c>
      <c r="R186" s="4"/>
      <c r="S186" s="12"/>
    </row>
    <row r="187" spans="1:19" x14ac:dyDescent="0.25">
      <c r="A187" s="9" t="s">
        <v>195</v>
      </c>
      <c r="B187" s="9" t="s">
        <v>291</v>
      </c>
      <c r="C187" s="4">
        <v>201002759</v>
      </c>
      <c r="D187" s="4"/>
      <c r="E187" s="4" t="str">
        <f>"057792010"</f>
        <v>057792010</v>
      </c>
      <c r="F187" s="10">
        <v>40282</v>
      </c>
      <c r="G187" s="11">
        <v>1990000</v>
      </c>
      <c r="H187" s="11">
        <v>1990000</v>
      </c>
      <c r="I187" s="4" t="s">
        <v>88</v>
      </c>
      <c r="J187" s="4" t="s">
        <v>89</v>
      </c>
      <c r="K187" s="11">
        <v>0</v>
      </c>
      <c r="L187" s="4"/>
      <c r="M187" s="4"/>
      <c r="N187" s="11">
        <v>0</v>
      </c>
      <c r="O187" s="4"/>
      <c r="P187" s="4"/>
      <c r="Q187" s="11">
        <v>0</v>
      </c>
      <c r="R187" s="4"/>
      <c r="S187" s="12"/>
    </row>
    <row r="188" spans="1:19" x14ac:dyDescent="0.25">
      <c r="A188" s="9" t="s">
        <v>195</v>
      </c>
      <c r="B188" s="9" t="s">
        <v>291</v>
      </c>
      <c r="C188" s="4">
        <v>201002767</v>
      </c>
      <c r="D188" s="4" t="s">
        <v>212</v>
      </c>
      <c r="E188" s="4" t="str">
        <f>"053862010"</f>
        <v>053862010</v>
      </c>
      <c r="F188" s="10">
        <v>40270</v>
      </c>
      <c r="G188" s="11">
        <v>452993.56</v>
      </c>
      <c r="H188" s="11">
        <v>0</v>
      </c>
      <c r="I188" s="4"/>
      <c r="J188" s="4"/>
      <c r="K188" s="11">
        <v>452993.56</v>
      </c>
      <c r="L188" s="4" t="s">
        <v>197</v>
      </c>
      <c r="M188" s="4" t="s">
        <v>198</v>
      </c>
      <c r="N188" s="11">
        <v>0</v>
      </c>
      <c r="O188" s="4"/>
      <c r="P188" s="4"/>
      <c r="Q188" s="11">
        <v>0</v>
      </c>
      <c r="R188" s="4"/>
      <c r="S188" s="12"/>
    </row>
    <row r="189" spans="1:19" x14ac:dyDescent="0.25">
      <c r="A189" s="9" t="s">
        <v>195</v>
      </c>
      <c r="B189" s="9" t="s">
        <v>291</v>
      </c>
      <c r="C189" s="4">
        <v>201002774</v>
      </c>
      <c r="D189" s="4" t="s">
        <v>213</v>
      </c>
      <c r="E189" s="4" t="str">
        <f>"054642010"</f>
        <v>054642010</v>
      </c>
      <c r="F189" s="10">
        <v>40270</v>
      </c>
      <c r="G189" s="11">
        <v>27500</v>
      </c>
      <c r="H189" s="11">
        <v>27500</v>
      </c>
      <c r="I189" s="4" t="s">
        <v>23</v>
      </c>
      <c r="J189" s="4" t="s">
        <v>24</v>
      </c>
      <c r="K189" s="11">
        <v>0</v>
      </c>
      <c r="L189" s="4"/>
      <c r="M189" s="4"/>
      <c r="N189" s="11">
        <v>0</v>
      </c>
      <c r="O189" s="4"/>
      <c r="P189" s="4"/>
      <c r="Q189" s="11">
        <v>0</v>
      </c>
      <c r="R189" s="4"/>
      <c r="S189" s="12"/>
    </row>
    <row r="190" spans="1:19" x14ac:dyDescent="0.25">
      <c r="A190" s="9" t="s">
        <v>195</v>
      </c>
      <c r="B190" s="9" t="s">
        <v>291</v>
      </c>
      <c r="C190" s="4">
        <v>201002864</v>
      </c>
      <c r="D190" s="4" t="s">
        <v>214</v>
      </c>
      <c r="E190" s="4" t="str">
        <f>"056952010"</f>
        <v>056952010</v>
      </c>
      <c r="F190" s="10">
        <v>40281</v>
      </c>
      <c r="G190" s="11">
        <v>1268881</v>
      </c>
      <c r="H190" s="11">
        <v>1268881</v>
      </c>
      <c r="I190" s="4" t="s">
        <v>88</v>
      </c>
      <c r="J190" s="4" t="s">
        <v>89</v>
      </c>
      <c r="K190" s="11">
        <v>0</v>
      </c>
      <c r="L190" s="4"/>
      <c r="M190" s="4"/>
      <c r="N190" s="11">
        <v>0</v>
      </c>
      <c r="O190" s="4"/>
      <c r="P190" s="4"/>
      <c r="Q190" s="11">
        <v>0</v>
      </c>
      <c r="R190" s="4"/>
      <c r="S190" s="12"/>
    </row>
    <row r="191" spans="1:19" x14ac:dyDescent="0.25">
      <c r="A191" s="9" t="s">
        <v>195</v>
      </c>
      <c r="B191" s="9" t="s">
        <v>291</v>
      </c>
      <c r="C191" s="4">
        <v>201003029</v>
      </c>
      <c r="D191" s="4" t="s">
        <v>215</v>
      </c>
      <c r="E191" s="4" t="str">
        <f>"062822010"</f>
        <v>062822010</v>
      </c>
      <c r="F191" s="10">
        <v>40296</v>
      </c>
      <c r="G191" s="11">
        <v>260057.96</v>
      </c>
      <c r="H191" s="11">
        <v>260057.96</v>
      </c>
      <c r="I191" s="4" t="s">
        <v>23</v>
      </c>
      <c r="J191" s="4" t="s">
        <v>24</v>
      </c>
      <c r="K191" s="11">
        <v>0</v>
      </c>
      <c r="L191" s="4"/>
      <c r="M191" s="4"/>
      <c r="N191" s="11">
        <v>0</v>
      </c>
      <c r="O191" s="4"/>
      <c r="P191" s="4"/>
      <c r="Q191" s="11">
        <v>0</v>
      </c>
      <c r="R191" s="4"/>
      <c r="S191" s="12"/>
    </row>
    <row r="192" spans="1:19" x14ac:dyDescent="0.25">
      <c r="A192" s="9" t="s">
        <v>195</v>
      </c>
      <c r="B192" s="9" t="s">
        <v>291</v>
      </c>
      <c r="C192" s="4">
        <v>201003029</v>
      </c>
      <c r="D192" s="4" t="s">
        <v>215</v>
      </c>
      <c r="E192" s="4" t="str">
        <f>"062842010"</f>
        <v>062842010</v>
      </c>
      <c r="F192" s="10">
        <v>40296</v>
      </c>
      <c r="G192" s="11">
        <v>104942.04</v>
      </c>
      <c r="H192" s="11">
        <v>104942.04</v>
      </c>
      <c r="I192" s="4" t="s">
        <v>23</v>
      </c>
      <c r="J192" s="4" t="s">
        <v>24</v>
      </c>
      <c r="K192" s="11">
        <v>0</v>
      </c>
      <c r="L192" s="4"/>
      <c r="M192" s="4"/>
      <c r="N192" s="11">
        <v>0</v>
      </c>
      <c r="O192" s="4"/>
      <c r="P192" s="4"/>
      <c r="Q192" s="11">
        <v>0</v>
      </c>
      <c r="R192" s="4"/>
      <c r="S192" s="12"/>
    </row>
    <row r="193" spans="1:19" x14ac:dyDescent="0.25">
      <c r="A193" s="9" t="s">
        <v>195</v>
      </c>
      <c r="B193" s="9" t="s">
        <v>291</v>
      </c>
      <c r="C193" s="4">
        <v>201003032</v>
      </c>
      <c r="D193" s="4" t="s">
        <v>216</v>
      </c>
      <c r="E193" s="4" t="str">
        <f>"062882010"</f>
        <v>062882010</v>
      </c>
      <c r="F193" s="10">
        <v>40296</v>
      </c>
      <c r="G193" s="11">
        <v>25000</v>
      </c>
      <c r="H193" s="11">
        <v>25000</v>
      </c>
      <c r="I193" s="4" t="s">
        <v>23</v>
      </c>
      <c r="J193" s="4" t="s">
        <v>24</v>
      </c>
      <c r="K193" s="11">
        <v>0</v>
      </c>
      <c r="L193" s="4"/>
      <c r="M193" s="4"/>
      <c r="N193" s="11">
        <v>0</v>
      </c>
      <c r="O193" s="4"/>
      <c r="P193" s="4"/>
      <c r="Q193" s="11">
        <v>0</v>
      </c>
      <c r="R193" s="4"/>
      <c r="S193" s="12"/>
    </row>
    <row r="194" spans="1:19" x14ac:dyDescent="0.25">
      <c r="A194" s="9" t="s">
        <v>195</v>
      </c>
      <c r="B194" s="9" t="s">
        <v>291</v>
      </c>
      <c r="C194" s="4">
        <v>201003181</v>
      </c>
      <c r="D194" s="4"/>
      <c r="E194" s="4" t="str">
        <f>"063142010"</f>
        <v>063142010</v>
      </c>
      <c r="F194" s="10">
        <v>40296</v>
      </c>
      <c r="G194" s="11">
        <v>50000</v>
      </c>
      <c r="H194" s="11">
        <v>50000</v>
      </c>
      <c r="I194" s="4" t="s">
        <v>197</v>
      </c>
      <c r="J194" s="4" t="s">
        <v>198</v>
      </c>
      <c r="K194" s="11">
        <v>0</v>
      </c>
      <c r="L194" s="4"/>
      <c r="M194" s="4"/>
      <c r="N194" s="11">
        <v>0</v>
      </c>
      <c r="O194" s="4"/>
      <c r="P194" s="4"/>
      <c r="Q194" s="11">
        <v>0</v>
      </c>
      <c r="R194" s="4"/>
      <c r="S194" s="12"/>
    </row>
    <row r="195" spans="1:19" x14ac:dyDescent="0.25">
      <c r="A195" s="9" t="s">
        <v>195</v>
      </c>
      <c r="B195" s="9" t="s">
        <v>291</v>
      </c>
      <c r="C195" s="4">
        <v>201003247</v>
      </c>
      <c r="D195" s="4" t="s">
        <v>217</v>
      </c>
      <c r="E195" s="4" t="str">
        <f>"064862010"</f>
        <v>064862010</v>
      </c>
      <c r="F195" s="10">
        <v>40302</v>
      </c>
      <c r="G195" s="11">
        <v>200000</v>
      </c>
      <c r="H195" s="11">
        <v>200000</v>
      </c>
      <c r="I195" s="4" t="s">
        <v>197</v>
      </c>
      <c r="J195" s="4" t="s">
        <v>198</v>
      </c>
      <c r="K195" s="11">
        <v>0</v>
      </c>
      <c r="L195" s="4"/>
      <c r="M195" s="4"/>
      <c r="N195" s="11">
        <v>0</v>
      </c>
      <c r="O195" s="4"/>
      <c r="P195" s="4"/>
      <c r="Q195" s="11">
        <v>0</v>
      </c>
      <c r="R195" s="4"/>
      <c r="S195" s="12"/>
    </row>
    <row r="196" spans="1:19" x14ac:dyDescent="0.25">
      <c r="A196" s="9" t="s">
        <v>195</v>
      </c>
      <c r="B196" s="9" t="s">
        <v>291</v>
      </c>
      <c r="C196" s="4">
        <v>201003316</v>
      </c>
      <c r="D196" s="4" t="s">
        <v>218</v>
      </c>
      <c r="E196" s="4" t="str">
        <f>"067962010"</f>
        <v>067962010</v>
      </c>
      <c r="F196" s="10">
        <v>40311</v>
      </c>
      <c r="G196" s="11">
        <v>12469.09</v>
      </c>
      <c r="H196" s="11">
        <v>12469.09</v>
      </c>
      <c r="I196" s="4" t="s">
        <v>23</v>
      </c>
      <c r="J196" s="4" t="s">
        <v>24</v>
      </c>
      <c r="K196" s="11">
        <v>0</v>
      </c>
      <c r="L196" s="4"/>
      <c r="M196" s="4"/>
      <c r="N196" s="11">
        <v>0</v>
      </c>
      <c r="O196" s="4"/>
      <c r="P196" s="4"/>
      <c r="Q196" s="11">
        <v>0</v>
      </c>
      <c r="R196" s="4"/>
      <c r="S196" s="12"/>
    </row>
    <row r="197" spans="1:19" x14ac:dyDescent="0.25">
      <c r="A197" s="9" t="s">
        <v>195</v>
      </c>
      <c r="B197" s="9" t="s">
        <v>291</v>
      </c>
      <c r="C197" s="4">
        <v>201003371</v>
      </c>
      <c r="D197" s="4" t="s">
        <v>219</v>
      </c>
      <c r="E197" s="4" t="str">
        <f>"067662010"</f>
        <v>067662010</v>
      </c>
      <c r="F197" s="10">
        <v>40310</v>
      </c>
      <c r="G197" s="11">
        <v>15000</v>
      </c>
      <c r="H197" s="11">
        <v>15000</v>
      </c>
      <c r="I197" s="4" t="s">
        <v>23</v>
      </c>
      <c r="J197" s="4" t="s">
        <v>24</v>
      </c>
      <c r="K197" s="11">
        <v>0</v>
      </c>
      <c r="L197" s="4"/>
      <c r="M197" s="4"/>
      <c r="N197" s="11">
        <v>0</v>
      </c>
      <c r="O197" s="4"/>
      <c r="P197" s="4"/>
      <c r="Q197" s="11">
        <v>0</v>
      </c>
      <c r="R197" s="4"/>
      <c r="S197" s="12"/>
    </row>
    <row r="198" spans="1:19" x14ac:dyDescent="0.25">
      <c r="A198" s="9" t="s">
        <v>195</v>
      </c>
      <c r="B198" s="9" t="s">
        <v>291</v>
      </c>
      <c r="C198" s="4">
        <v>201003385</v>
      </c>
      <c r="D198" s="4" t="s">
        <v>220</v>
      </c>
      <c r="E198" s="4" t="str">
        <f>"067162010"</f>
        <v>067162010</v>
      </c>
      <c r="F198" s="10">
        <v>40311</v>
      </c>
      <c r="G198" s="11">
        <v>146017</v>
      </c>
      <c r="H198" s="11">
        <v>0</v>
      </c>
      <c r="I198" s="4"/>
      <c r="J198" s="4"/>
      <c r="K198" s="11">
        <v>146017</v>
      </c>
      <c r="L198" s="4" t="s">
        <v>197</v>
      </c>
      <c r="M198" s="4" t="s">
        <v>198</v>
      </c>
      <c r="N198" s="11">
        <v>0</v>
      </c>
      <c r="O198" s="4"/>
      <c r="P198" s="4"/>
      <c r="Q198" s="11">
        <v>0</v>
      </c>
      <c r="R198" s="4"/>
      <c r="S198" s="12"/>
    </row>
    <row r="199" spans="1:19" x14ac:dyDescent="0.25">
      <c r="A199" s="9" t="s">
        <v>195</v>
      </c>
      <c r="B199" s="9" t="s">
        <v>291</v>
      </c>
      <c r="C199" s="4">
        <v>201003386</v>
      </c>
      <c r="D199" s="4" t="s">
        <v>206</v>
      </c>
      <c r="E199" s="4" t="str">
        <f>"066902010"</f>
        <v>066902010</v>
      </c>
      <c r="F199" s="10">
        <v>40310</v>
      </c>
      <c r="G199" s="11">
        <v>6033.8</v>
      </c>
      <c r="H199" s="11">
        <v>0</v>
      </c>
      <c r="I199" s="4"/>
      <c r="J199" s="4"/>
      <c r="K199" s="11">
        <v>6033.8</v>
      </c>
      <c r="L199" s="4" t="s">
        <v>197</v>
      </c>
      <c r="M199" s="4" t="s">
        <v>198</v>
      </c>
      <c r="N199" s="11">
        <v>0</v>
      </c>
      <c r="O199" s="4"/>
      <c r="P199" s="4"/>
      <c r="Q199" s="11">
        <v>0</v>
      </c>
      <c r="R199" s="4"/>
      <c r="S199" s="12"/>
    </row>
    <row r="200" spans="1:19" x14ac:dyDescent="0.25">
      <c r="A200" s="9" t="s">
        <v>195</v>
      </c>
      <c r="B200" s="9" t="s">
        <v>291</v>
      </c>
      <c r="C200" s="4">
        <v>201003402</v>
      </c>
      <c r="D200" s="4" t="s">
        <v>221</v>
      </c>
      <c r="E200" s="4" t="str">
        <f>"069342010"</f>
        <v>069342010</v>
      </c>
      <c r="F200" s="10">
        <v>40312</v>
      </c>
      <c r="G200" s="11">
        <v>1093500</v>
      </c>
      <c r="H200" s="11">
        <v>1093500</v>
      </c>
      <c r="I200" s="4" t="s">
        <v>197</v>
      </c>
      <c r="J200" s="4" t="s">
        <v>198</v>
      </c>
      <c r="K200" s="11">
        <v>0</v>
      </c>
      <c r="L200" s="4"/>
      <c r="M200" s="4"/>
      <c r="N200" s="11">
        <v>0</v>
      </c>
      <c r="O200" s="4"/>
      <c r="P200" s="4"/>
      <c r="Q200" s="11">
        <v>0</v>
      </c>
      <c r="R200" s="4"/>
      <c r="S200" s="12"/>
    </row>
    <row r="201" spans="1:19" x14ac:dyDescent="0.25">
      <c r="A201" s="9" t="s">
        <v>195</v>
      </c>
      <c r="B201" s="9" t="s">
        <v>291</v>
      </c>
      <c r="C201" s="4">
        <v>201004055</v>
      </c>
      <c r="D201" s="4" t="s">
        <v>207</v>
      </c>
      <c r="E201" s="4" t="str">
        <f>"080342010"</f>
        <v>080342010</v>
      </c>
      <c r="F201" s="10">
        <v>40346</v>
      </c>
      <c r="G201" s="11">
        <v>250000</v>
      </c>
      <c r="H201" s="11">
        <v>250000</v>
      </c>
      <c r="I201" s="4" t="s">
        <v>197</v>
      </c>
      <c r="J201" s="4" t="s">
        <v>198</v>
      </c>
      <c r="K201" s="11">
        <v>0</v>
      </c>
      <c r="L201" s="4"/>
      <c r="M201" s="4"/>
      <c r="N201" s="11">
        <v>0</v>
      </c>
      <c r="O201" s="4"/>
      <c r="P201" s="4"/>
      <c r="Q201" s="11">
        <v>0</v>
      </c>
      <c r="R201" s="4"/>
      <c r="S201" s="12"/>
    </row>
    <row r="202" spans="1:19" x14ac:dyDescent="0.25">
      <c r="A202" s="9" t="s">
        <v>195</v>
      </c>
      <c r="B202" s="9" t="s">
        <v>291</v>
      </c>
      <c r="C202" s="4">
        <v>201004209</v>
      </c>
      <c r="D202" s="4" t="s">
        <v>222</v>
      </c>
      <c r="E202" s="4" t="str">
        <f>"085562010"</f>
        <v>085562010</v>
      </c>
      <c r="F202" s="10">
        <v>40357</v>
      </c>
      <c r="G202" s="11">
        <v>2500</v>
      </c>
      <c r="H202" s="11">
        <v>2500</v>
      </c>
      <c r="I202" s="4" t="s">
        <v>197</v>
      </c>
      <c r="J202" s="4" t="s">
        <v>198</v>
      </c>
      <c r="K202" s="11">
        <v>0</v>
      </c>
      <c r="L202" s="4"/>
      <c r="M202" s="4"/>
      <c r="N202" s="11">
        <v>0</v>
      </c>
      <c r="O202" s="4"/>
      <c r="P202" s="4"/>
      <c r="Q202" s="11">
        <v>0</v>
      </c>
      <c r="R202" s="4"/>
      <c r="S202" s="12"/>
    </row>
    <row r="203" spans="1:19" x14ac:dyDescent="0.25">
      <c r="A203" s="9" t="s">
        <v>195</v>
      </c>
      <c r="B203" s="9" t="s">
        <v>291</v>
      </c>
      <c r="C203" s="4">
        <v>201004281</v>
      </c>
      <c r="D203" s="4" t="s">
        <v>223</v>
      </c>
      <c r="E203" s="4" t="str">
        <f>"086762010"</f>
        <v>086762010</v>
      </c>
      <c r="F203" s="10">
        <v>40357</v>
      </c>
      <c r="G203" s="11">
        <v>165000</v>
      </c>
      <c r="H203" s="11">
        <v>165000</v>
      </c>
      <c r="I203" s="4" t="s">
        <v>23</v>
      </c>
      <c r="J203" s="4" t="s">
        <v>24</v>
      </c>
      <c r="K203" s="11">
        <v>0</v>
      </c>
      <c r="L203" s="4"/>
      <c r="M203" s="4"/>
      <c r="N203" s="11">
        <v>0</v>
      </c>
      <c r="O203" s="4"/>
      <c r="P203" s="4"/>
      <c r="Q203" s="11">
        <v>0</v>
      </c>
      <c r="R203" s="4"/>
      <c r="S203" s="12"/>
    </row>
    <row r="204" spans="1:19" x14ac:dyDescent="0.25">
      <c r="A204" s="9" t="s">
        <v>195</v>
      </c>
      <c r="B204" s="9" t="s">
        <v>291</v>
      </c>
      <c r="C204" s="4">
        <v>201004457</v>
      </c>
      <c r="D204" s="4" t="s">
        <v>207</v>
      </c>
      <c r="E204" s="4" t="str">
        <f>"091102010"</f>
        <v>091102010</v>
      </c>
      <c r="F204" s="10">
        <v>40366</v>
      </c>
      <c r="G204" s="11">
        <v>12500</v>
      </c>
      <c r="H204" s="11">
        <v>12500</v>
      </c>
      <c r="I204" s="4" t="s">
        <v>197</v>
      </c>
      <c r="J204" s="4" t="s">
        <v>198</v>
      </c>
      <c r="K204" s="11">
        <v>0</v>
      </c>
      <c r="L204" s="4"/>
      <c r="M204" s="4"/>
      <c r="N204" s="11">
        <v>0</v>
      </c>
      <c r="O204" s="4"/>
      <c r="P204" s="4"/>
      <c r="Q204" s="11">
        <v>0</v>
      </c>
      <c r="R204" s="4"/>
      <c r="S204" s="12"/>
    </row>
    <row r="205" spans="1:19" x14ac:dyDescent="0.25">
      <c r="A205" s="9" t="s">
        <v>195</v>
      </c>
      <c r="B205" s="9" t="s">
        <v>291</v>
      </c>
      <c r="C205" s="4">
        <v>201004649</v>
      </c>
      <c r="D205" s="4" t="s">
        <v>207</v>
      </c>
      <c r="E205" s="4" t="str">
        <f>"092242010"</f>
        <v>092242010</v>
      </c>
      <c r="F205" s="10">
        <v>40372</v>
      </c>
      <c r="G205" s="11">
        <v>37500</v>
      </c>
      <c r="H205" s="11">
        <v>37500</v>
      </c>
      <c r="I205" s="4" t="s">
        <v>197</v>
      </c>
      <c r="J205" s="4" t="s">
        <v>198</v>
      </c>
      <c r="K205" s="11">
        <v>0</v>
      </c>
      <c r="L205" s="4"/>
      <c r="M205" s="4"/>
      <c r="N205" s="11">
        <v>0</v>
      </c>
      <c r="O205" s="4"/>
      <c r="P205" s="4"/>
      <c r="Q205" s="11">
        <v>0</v>
      </c>
      <c r="R205" s="4"/>
      <c r="S205" s="12"/>
    </row>
    <row r="206" spans="1:19" x14ac:dyDescent="0.25">
      <c r="A206" s="9" t="s">
        <v>195</v>
      </c>
      <c r="B206" s="9" t="s">
        <v>291</v>
      </c>
      <c r="C206" s="4">
        <v>201004810</v>
      </c>
      <c r="D206" s="4" t="s">
        <v>207</v>
      </c>
      <c r="E206" s="4" t="str">
        <f>"097052010"</f>
        <v>097052010</v>
      </c>
      <c r="F206" s="10">
        <v>40387</v>
      </c>
      <c r="G206" s="11">
        <v>12500</v>
      </c>
      <c r="H206" s="11">
        <v>12500</v>
      </c>
      <c r="I206" s="4" t="s">
        <v>197</v>
      </c>
      <c r="J206" s="4" t="s">
        <v>198</v>
      </c>
      <c r="K206" s="11">
        <v>0</v>
      </c>
      <c r="L206" s="4"/>
      <c r="M206" s="4"/>
      <c r="N206" s="11">
        <v>0</v>
      </c>
      <c r="O206" s="4"/>
      <c r="P206" s="4"/>
      <c r="Q206" s="11">
        <v>0</v>
      </c>
      <c r="R206" s="4"/>
      <c r="S206" s="12"/>
    </row>
    <row r="207" spans="1:19" x14ac:dyDescent="0.25">
      <c r="A207" s="9" t="s">
        <v>195</v>
      </c>
      <c r="B207" s="9" t="s">
        <v>291</v>
      </c>
      <c r="C207" s="4">
        <v>201004858</v>
      </c>
      <c r="D207" s="4" t="s">
        <v>224</v>
      </c>
      <c r="E207" s="4" t="str">
        <f>"096912010"</f>
        <v>096912010</v>
      </c>
      <c r="F207" s="10">
        <v>40394</v>
      </c>
      <c r="G207" s="11">
        <v>1257.24</v>
      </c>
      <c r="H207" s="11">
        <v>0</v>
      </c>
      <c r="I207" s="4"/>
      <c r="J207" s="4"/>
      <c r="K207" s="11">
        <v>0</v>
      </c>
      <c r="L207" s="4"/>
      <c r="M207" s="4"/>
      <c r="N207" s="11">
        <v>1257.24</v>
      </c>
      <c r="O207" s="4" t="s">
        <v>56</v>
      </c>
      <c r="P207" s="4" t="s">
        <v>57</v>
      </c>
      <c r="Q207" s="11">
        <v>0</v>
      </c>
      <c r="R207" s="4"/>
      <c r="S207" s="12"/>
    </row>
    <row r="208" spans="1:19" x14ac:dyDescent="0.25">
      <c r="A208" s="9" t="s">
        <v>195</v>
      </c>
      <c r="B208" s="9" t="s">
        <v>291</v>
      </c>
      <c r="C208" s="4">
        <v>201005309</v>
      </c>
      <c r="D208" s="4" t="s">
        <v>206</v>
      </c>
      <c r="E208" s="4" t="str">
        <f>"105892010"</f>
        <v>105892010</v>
      </c>
      <c r="F208" s="10">
        <v>40416</v>
      </c>
      <c r="G208" s="11">
        <v>4373.6000000000004</v>
      </c>
      <c r="H208" s="11">
        <v>0</v>
      </c>
      <c r="I208" s="4"/>
      <c r="J208" s="4"/>
      <c r="K208" s="11">
        <v>4373.6000000000004</v>
      </c>
      <c r="L208" s="4" t="s">
        <v>197</v>
      </c>
      <c r="M208" s="4" t="s">
        <v>198</v>
      </c>
      <c r="N208" s="11">
        <v>0</v>
      </c>
      <c r="O208" s="4"/>
      <c r="P208" s="4"/>
      <c r="Q208" s="11">
        <v>0</v>
      </c>
      <c r="R208" s="4"/>
      <c r="S208" s="12"/>
    </row>
    <row r="209" spans="1:19" x14ac:dyDescent="0.25">
      <c r="A209" s="9" t="s">
        <v>195</v>
      </c>
      <c r="B209" s="9" t="s">
        <v>291</v>
      </c>
      <c r="C209" s="4">
        <v>201005361</v>
      </c>
      <c r="D209" s="4"/>
      <c r="E209" s="4" t="str">
        <f>"108992010"</f>
        <v>108992010</v>
      </c>
      <c r="F209" s="10">
        <v>40429</v>
      </c>
      <c r="G209" s="11">
        <v>142500</v>
      </c>
      <c r="H209" s="11">
        <v>142500</v>
      </c>
      <c r="I209" s="4" t="s">
        <v>197</v>
      </c>
      <c r="J209" s="4" t="s">
        <v>198</v>
      </c>
      <c r="K209" s="11">
        <v>0</v>
      </c>
      <c r="L209" s="4"/>
      <c r="M209" s="4"/>
      <c r="N209" s="11">
        <v>0</v>
      </c>
      <c r="O209" s="4"/>
      <c r="P209" s="4"/>
      <c r="Q209" s="11">
        <v>0</v>
      </c>
      <c r="R209" s="4"/>
      <c r="S209" s="12"/>
    </row>
    <row r="210" spans="1:19" x14ac:dyDescent="0.25">
      <c r="A210" s="9" t="s">
        <v>195</v>
      </c>
      <c r="B210" s="9" t="s">
        <v>291</v>
      </c>
      <c r="C210" s="4">
        <v>201005417</v>
      </c>
      <c r="D210" s="4" t="s">
        <v>225</v>
      </c>
      <c r="E210" s="4" t="str">
        <f>"108392010"</f>
        <v>108392010</v>
      </c>
      <c r="F210" s="10">
        <v>40424</v>
      </c>
      <c r="G210" s="11">
        <v>7000</v>
      </c>
      <c r="H210" s="11">
        <v>7000</v>
      </c>
      <c r="I210" s="4" t="s">
        <v>30</v>
      </c>
      <c r="J210" s="4" t="s">
        <v>31</v>
      </c>
      <c r="K210" s="11">
        <v>0</v>
      </c>
      <c r="L210" s="4"/>
      <c r="M210" s="4"/>
      <c r="N210" s="11">
        <v>0</v>
      </c>
      <c r="O210" s="4"/>
      <c r="P210" s="4"/>
      <c r="Q210" s="11">
        <v>0</v>
      </c>
      <c r="R210" s="4"/>
      <c r="S210" s="12"/>
    </row>
    <row r="211" spans="1:19" x14ac:dyDescent="0.25">
      <c r="A211" s="9" t="s">
        <v>195</v>
      </c>
      <c r="B211" s="9" t="s">
        <v>291</v>
      </c>
      <c r="C211" s="4">
        <v>201005429</v>
      </c>
      <c r="D211" s="4" t="s">
        <v>207</v>
      </c>
      <c r="E211" s="4" t="str">
        <f>"108532010"</f>
        <v>108532010</v>
      </c>
      <c r="F211" s="10">
        <v>40424</v>
      </c>
      <c r="G211" s="11">
        <v>350000</v>
      </c>
      <c r="H211" s="11">
        <v>350000</v>
      </c>
      <c r="I211" s="4" t="s">
        <v>197</v>
      </c>
      <c r="J211" s="4" t="s">
        <v>198</v>
      </c>
      <c r="K211" s="11">
        <v>0</v>
      </c>
      <c r="L211" s="4"/>
      <c r="M211" s="4"/>
      <c r="N211" s="11">
        <v>0</v>
      </c>
      <c r="O211" s="4"/>
      <c r="P211" s="4"/>
      <c r="Q211" s="11">
        <v>0</v>
      </c>
      <c r="R211" s="4"/>
      <c r="S211" s="12"/>
    </row>
    <row r="212" spans="1:19" x14ac:dyDescent="0.25">
      <c r="A212" s="9" t="s">
        <v>195</v>
      </c>
      <c r="B212" s="9" t="s">
        <v>291</v>
      </c>
      <c r="C212" s="4">
        <v>201005531</v>
      </c>
      <c r="D212" s="4"/>
      <c r="E212" s="4" t="str">
        <f>"115352010"</f>
        <v>115352010</v>
      </c>
      <c r="F212" s="10">
        <v>40450</v>
      </c>
      <c r="G212" s="11">
        <v>3500000</v>
      </c>
      <c r="H212" s="11">
        <v>3500000</v>
      </c>
      <c r="I212" s="4" t="s">
        <v>88</v>
      </c>
      <c r="J212" s="4" t="s">
        <v>89</v>
      </c>
      <c r="K212" s="11">
        <v>0</v>
      </c>
      <c r="L212" s="4"/>
      <c r="M212" s="4"/>
      <c r="N212" s="11">
        <v>0</v>
      </c>
      <c r="O212" s="4"/>
      <c r="P212" s="4"/>
      <c r="Q212" s="11">
        <v>0</v>
      </c>
      <c r="R212" s="4"/>
      <c r="S212" s="12"/>
    </row>
    <row r="213" spans="1:19" x14ac:dyDescent="0.25">
      <c r="A213" s="9" t="s">
        <v>195</v>
      </c>
      <c r="B213" s="9" t="s">
        <v>291</v>
      </c>
      <c r="C213" s="4">
        <v>201005642</v>
      </c>
      <c r="D213" s="4" t="s">
        <v>204</v>
      </c>
      <c r="E213" s="4" t="str">
        <f>"112242010"</f>
        <v>112242010</v>
      </c>
      <c r="F213" s="10">
        <v>40443</v>
      </c>
      <c r="G213" s="11">
        <v>159456.85</v>
      </c>
      <c r="H213" s="11">
        <v>0</v>
      </c>
      <c r="I213" s="4"/>
      <c r="J213" s="4"/>
      <c r="K213" s="11">
        <v>159456.85</v>
      </c>
      <c r="L213" s="4" t="s">
        <v>197</v>
      </c>
      <c r="M213" s="4" t="s">
        <v>198</v>
      </c>
      <c r="N213" s="11">
        <v>0</v>
      </c>
      <c r="O213" s="4"/>
      <c r="P213" s="4"/>
      <c r="Q213" s="11">
        <v>0</v>
      </c>
      <c r="R213" s="4"/>
      <c r="S213" s="12"/>
    </row>
    <row r="214" spans="1:19" x14ac:dyDescent="0.25">
      <c r="A214" s="9" t="s">
        <v>226</v>
      </c>
      <c r="B214" s="9" t="s">
        <v>291</v>
      </c>
      <c r="C214" s="4">
        <v>201005151</v>
      </c>
      <c r="D214" s="4"/>
      <c r="E214" s="4" t="str">
        <f>"103712010"</f>
        <v>103712010</v>
      </c>
      <c r="F214" s="10">
        <v>40410</v>
      </c>
      <c r="G214" s="11">
        <v>136031</v>
      </c>
      <c r="H214" s="11">
        <v>136031</v>
      </c>
      <c r="I214" s="4" t="s">
        <v>142</v>
      </c>
      <c r="J214" s="4" t="s">
        <v>143</v>
      </c>
      <c r="K214" s="11">
        <v>0</v>
      </c>
      <c r="L214" s="4"/>
      <c r="M214" s="4"/>
      <c r="N214" s="11">
        <v>0</v>
      </c>
      <c r="O214" s="4"/>
      <c r="P214" s="4"/>
      <c r="Q214" s="11">
        <v>0</v>
      </c>
      <c r="R214" s="4"/>
      <c r="S214" s="12"/>
    </row>
    <row r="215" spans="1:19" x14ac:dyDescent="0.25">
      <c r="A215" s="9" t="s">
        <v>227</v>
      </c>
      <c r="B215" s="9" t="s">
        <v>291</v>
      </c>
      <c r="C215" s="4">
        <v>201000870</v>
      </c>
      <c r="D215" s="4" t="s">
        <v>228</v>
      </c>
      <c r="E215" s="4" t="str">
        <f>"016732010"</f>
        <v>016732010</v>
      </c>
      <c r="F215" s="10">
        <v>40150</v>
      </c>
      <c r="G215" s="11">
        <v>84000</v>
      </c>
      <c r="H215" s="11">
        <v>84000</v>
      </c>
      <c r="I215" s="4" t="s">
        <v>23</v>
      </c>
      <c r="J215" s="4" t="s">
        <v>24</v>
      </c>
      <c r="K215" s="11">
        <v>0</v>
      </c>
      <c r="L215" s="4"/>
      <c r="M215" s="4"/>
      <c r="N215" s="11">
        <v>0</v>
      </c>
      <c r="O215" s="4"/>
      <c r="P215" s="4"/>
      <c r="Q215" s="11">
        <v>0</v>
      </c>
      <c r="R215" s="4"/>
      <c r="S215" s="12"/>
    </row>
    <row r="216" spans="1:19" x14ac:dyDescent="0.25">
      <c r="A216" s="9" t="s">
        <v>227</v>
      </c>
      <c r="B216" s="9" t="s">
        <v>291</v>
      </c>
      <c r="C216" s="4">
        <v>201000873</v>
      </c>
      <c r="D216" s="4" t="s">
        <v>228</v>
      </c>
      <c r="E216" s="4" t="str">
        <f>"016712010"</f>
        <v>016712010</v>
      </c>
      <c r="F216" s="10">
        <v>40150</v>
      </c>
      <c r="G216" s="11">
        <v>76000</v>
      </c>
      <c r="H216" s="11">
        <v>76000</v>
      </c>
      <c r="I216" s="4" t="s">
        <v>23</v>
      </c>
      <c r="J216" s="4" t="s">
        <v>24</v>
      </c>
      <c r="K216" s="11">
        <v>0</v>
      </c>
      <c r="L216" s="4"/>
      <c r="M216" s="4"/>
      <c r="N216" s="11">
        <v>0</v>
      </c>
      <c r="O216" s="4"/>
      <c r="P216" s="4"/>
      <c r="Q216" s="11">
        <v>0</v>
      </c>
      <c r="R216" s="4"/>
      <c r="S216" s="12"/>
    </row>
    <row r="217" spans="1:19" x14ac:dyDescent="0.25">
      <c r="A217" s="9" t="s">
        <v>227</v>
      </c>
      <c r="B217" s="9" t="s">
        <v>291</v>
      </c>
      <c r="C217" s="4">
        <v>201000874</v>
      </c>
      <c r="D217" s="4" t="s">
        <v>228</v>
      </c>
      <c r="E217" s="4" t="str">
        <f>"016652010"</f>
        <v>016652010</v>
      </c>
      <c r="F217" s="10">
        <v>40150</v>
      </c>
      <c r="G217" s="11">
        <v>40000</v>
      </c>
      <c r="H217" s="11">
        <v>40000</v>
      </c>
      <c r="I217" s="4" t="s">
        <v>23</v>
      </c>
      <c r="J217" s="4" t="s">
        <v>24</v>
      </c>
      <c r="K217" s="11">
        <v>0</v>
      </c>
      <c r="L217" s="4"/>
      <c r="M217" s="4"/>
      <c r="N217" s="11">
        <v>0</v>
      </c>
      <c r="O217" s="4"/>
      <c r="P217" s="4"/>
      <c r="Q217" s="11">
        <v>0</v>
      </c>
      <c r="R217" s="4"/>
      <c r="S217" s="12"/>
    </row>
    <row r="218" spans="1:19" x14ac:dyDescent="0.25">
      <c r="A218" s="9" t="s">
        <v>229</v>
      </c>
      <c r="B218" s="9" t="s">
        <v>291</v>
      </c>
      <c r="C218" s="4">
        <v>201001044</v>
      </c>
      <c r="D218" s="4" t="s">
        <v>230</v>
      </c>
      <c r="E218" s="4" t="str">
        <f>"020942010"</f>
        <v>020942010</v>
      </c>
      <c r="F218" s="10">
        <v>40158</v>
      </c>
      <c r="G218" s="11">
        <v>15000</v>
      </c>
      <c r="H218" s="11">
        <v>15000</v>
      </c>
      <c r="I218" s="4" t="s">
        <v>23</v>
      </c>
      <c r="J218" s="4" t="s">
        <v>24</v>
      </c>
      <c r="K218" s="11">
        <v>0</v>
      </c>
      <c r="L218" s="4"/>
      <c r="M218" s="4"/>
      <c r="N218" s="11">
        <v>0</v>
      </c>
      <c r="O218" s="4"/>
      <c r="P218" s="4"/>
      <c r="Q218" s="11">
        <v>0</v>
      </c>
      <c r="R218" s="4"/>
      <c r="S218" s="12"/>
    </row>
    <row r="219" spans="1:19" x14ac:dyDescent="0.25">
      <c r="A219" s="9" t="s">
        <v>229</v>
      </c>
      <c r="B219" s="9" t="s">
        <v>291</v>
      </c>
      <c r="C219" s="4">
        <v>201001826</v>
      </c>
      <c r="D219" s="4" t="s">
        <v>231</v>
      </c>
      <c r="E219" s="4" t="str">
        <f>"035502010"</f>
        <v>035502010</v>
      </c>
      <c r="F219" s="10">
        <v>40213</v>
      </c>
      <c r="G219" s="11">
        <v>185000</v>
      </c>
      <c r="H219" s="11">
        <v>185000</v>
      </c>
      <c r="I219" s="4" t="s">
        <v>23</v>
      </c>
      <c r="J219" s="4" t="s">
        <v>24</v>
      </c>
      <c r="K219" s="11">
        <v>0</v>
      </c>
      <c r="L219" s="4"/>
      <c r="M219" s="4"/>
      <c r="N219" s="11">
        <v>0</v>
      </c>
      <c r="O219" s="4"/>
      <c r="P219" s="4"/>
      <c r="Q219" s="11">
        <v>0</v>
      </c>
      <c r="R219" s="4"/>
      <c r="S219" s="12"/>
    </row>
    <row r="220" spans="1:19" x14ac:dyDescent="0.25">
      <c r="A220" s="9" t="s">
        <v>229</v>
      </c>
      <c r="B220" s="9" t="s">
        <v>291</v>
      </c>
      <c r="C220" s="4">
        <v>201004626</v>
      </c>
      <c r="D220" s="4" t="s">
        <v>232</v>
      </c>
      <c r="E220" s="4" t="str">
        <f>"092462010"</f>
        <v>092462010</v>
      </c>
      <c r="F220" s="10">
        <v>40373</v>
      </c>
      <c r="G220" s="11">
        <v>1599.5</v>
      </c>
      <c r="H220" s="11">
        <v>0</v>
      </c>
      <c r="I220" s="4"/>
      <c r="J220" s="4"/>
      <c r="K220" s="11">
        <v>0</v>
      </c>
      <c r="L220" s="4"/>
      <c r="M220" s="4"/>
      <c r="N220" s="11">
        <v>1599.5</v>
      </c>
      <c r="O220" s="4" t="s">
        <v>56</v>
      </c>
      <c r="P220" s="4" t="s">
        <v>57</v>
      </c>
      <c r="Q220" s="11">
        <v>0</v>
      </c>
      <c r="R220" s="4"/>
      <c r="S220" s="12"/>
    </row>
    <row r="221" spans="1:19" x14ac:dyDescent="0.25">
      <c r="A221" s="9" t="s">
        <v>233</v>
      </c>
      <c r="B221" s="9" t="s">
        <v>291</v>
      </c>
      <c r="C221" s="4">
        <v>201000011</v>
      </c>
      <c r="D221" s="4"/>
      <c r="E221" s="4" t="str">
        <f>"000202010"</f>
        <v>000202010</v>
      </c>
      <c r="F221" s="10">
        <v>40092</v>
      </c>
      <c r="G221" s="11">
        <v>3201</v>
      </c>
      <c r="H221" s="11">
        <v>0</v>
      </c>
      <c r="I221" s="4"/>
      <c r="J221" s="4"/>
      <c r="K221" s="11">
        <v>3201</v>
      </c>
      <c r="L221" s="4" t="s">
        <v>234</v>
      </c>
      <c r="M221" s="4" t="s">
        <v>235</v>
      </c>
      <c r="N221" s="11">
        <v>0</v>
      </c>
      <c r="O221" s="4"/>
      <c r="P221" s="4"/>
      <c r="Q221" s="11">
        <v>0</v>
      </c>
      <c r="R221" s="4"/>
      <c r="S221" s="12"/>
    </row>
    <row r="222" spans="1:19" x14ac:dyDescent="0.25">
      <c r="A222" s="9" t="s">
        <v>233</v>
      </c>
      <c r="B222" s="9" t="s">
        <v>291</v>
      </c>
      <c r="C222" s="4">
        <v>201001083</v>
      </c>
      <c r="D222" s="4" t="s">
        <v>236</v>
      </c>
      <c r="E222" s="4" t="str">
        <f>"020642010"</f>
        <v>020642010</v>
      </c>
      <c r="F222" s="10">
        <v>40162</v>
      </c>
      <c r="G222" s="11">
        <v>705.15</v>
      </c>
      <c r="H222" s="11">
        <v>0</v>
      </c>
      <c r="I222" s="4"/>
      <c r="J222" s="4"/>
      <c r="K222" s="11">
        <v>0</v>
      </c>
      <c r="L222" s="4"/>
      <c r="M222" s="4"/>
      <c r="N222" s="11">
        <v>705.15</v>
      </c>
      <c r="O222" s="4" t="s">
        <v>56</v>
      </c>
      <c r="P222" s="4" t="s">
        <v>57</v>
      </c>
      <c r="Q222" s="11">
        <v>0</v>
      </c>
      <c r="R222" s="4"/>
      <c r="S222" s="12"/>
    </row>
    <row r="223" spans="1:19" x14ac:dyDescent="0.25">
      <c r="A223" s="9" t="s">
        <v>233</v>
      </c>
      <c r="B223" s="9" t="s">
        <v>291</v>
      </c>
      <c r="C223" s="4">
        <v>201001515</v>
      </c>
      <c r="D223" s="4"/>
      <c r="E223" s="4" t="str">
        <f>"031302010"</f>
        <v>031302010</v>
      </c>
      <c r="F223" s="10">
        <v>40199</v>
      </c>
      <c r="G223" s="11">
        <v>1526352.43</v>
      </c>
      <c r="H223" s="11">
        <v>1524201.01</v>
      </c>
      <c r="I223" s="4" t="s">
        <v>142</v>
      </c>
      <c r="J223" s="4" t="s">
        <v>143</v>
      </c>
      <c r="K223" s="11">
        <v>0</v>
      </c>
      <c r="L223" s="4"/>
      <c r="M223" s="4"/>
      <c r="N223" s="11">
        <v>0</v>
      </c>
      <c r="O223" s="4"/>
      <c r="P223" s="4"/>
      <c r="Q223" s="11">
        <v>2151.42</v>
      </c>
      <c r="R223" s="4" t="s">
        <v>142</v>
      </c>
      <c r="S223" s="12" t="s">
        <v>143</v>
      </c>
    </row>
    <row r="224" spans="1:19" x14ac:dyDescent="0.25">
      <c r="A224" s="9" t="s">
        <v>233</v>
      </c>
      <c r="B224" s="9" t="s">
        <v>291</v>
      </c>
      <c r="C224" s="4">
        <v>201001554</v>
      </c>
      <c r="D224" s="4"/>
      <c r="E224" s="4" t="str">
        <f>"031422010"</f>
        <v>031422010</v>
      </c>
      <c r="F224" s="10">
        <v>40200</v>
      </c>
      <c r="G224" s="11">
        <v>497.48</v>
      </c>
      <c r="H224" s="11">
        <v>497.48</v>
      </c>
      <c r="I224" s="4" t="s">
        <v>56</v>
      </c>
      <c r="J224" s="4" t="s">
        <v>57</v>
      </c>
      <c r="K224" s="11">
        <v>0</v>
      </c>
      <c r="L224" s="4"/>
      <c r="M224" s="4"/>
      <c r="N224" s="11">
        <v>0</v>
      </c>
      <c r="O224" s="4"/>
      <c r="P224" s="4"/>
      <c r="Q224" s="11">
        <v>0</v>
      </c>
      <c r="R224" s="4"/>
      <c r="S224" s="12"/>
    </row>
    <row r="225" spans="1:19" x14ac:dyDescent="0.25">
      <c r="A225" s="9" t="s">
        <v>233</v>
      </c>
      <c r="B225" s="9" t="s">
        <v>291</v>
      </c>
      <c r="C225" s="4">
        <v>201002205</v>
      </c>
      <c r="D225" s="4"/>
      <c r="E225" s="4" t="str">
        <f>"045542010"</f>
        <v>045542010</v>
      </c>
      <c r="F225" s="10">
        <v>40248</v>
      </c>
      <c r="G225" s="11">
        <v>7103.67</v>
      </c>
      <c r="H225" s="11">
        <v>7103.67</v>
      </c>
      <c r="I225" s="4" t="s">
        <v>56</v>
      </c>
      <c r="J225" s="4" t="s">
        <v>57</v>
      </c>
      <c r="K225" s="11">
        <v>0</v>
      </c>
      <c r="L225" s="4"/>
      <c r="M225" s="4"/>
      <c r="N225" s="11">
        <v>0</v>
      </c>
      <c r="O225" s="4"/>
      <c r="P225" s="4"/>
      <c r="Q225" s="11">
        <v>0</v>
      </c>
      <c r="R225" s="4"/>
      <c r="S225" s="12"/>
    </row>
    <row r="226" spans="1:19" x14ac:dyDescent="0.25">
      <c r="A226" s="9" t="s">
        <v>233</v>
      </c>
      <c r="B226" s="9" t="s">
        <v>291</v>
      </c>
      <c r="C226" s="4">
        <v>201002735</v>
      </c>
      <c r="D226" s="4" t="s">
        <v>2534</v>
      </c>
      <c r="E226" s="4" t="str">
        <f>"053762010"</f>
        <v>053762010</v>
      </c>
      <c r="F226" s="10">
        <v>40270</v>
      </c>
      <c r="G226" s="11">
        <v>43190.86</v>
      </c>
      <c r="H226" s="11">
        <v>0</v>
      </c>
      <c r="I226" s="4"/>
      <c r="J226" s="4"/>
      <c r="K226" s="11">
        <v>43190.86</v>
      </c>
      <c r="L226" s="4" t="s">
        <v>237</v>
      </c>
      <c r="M226" s="4" t="s">
        <v>238</v>
      </c>
      <c r="N226" s="11">
        <v>0</v>
      </c>
      <c r="O226" s="4"/>
      <c r="P226" s="4"/>
      <c r="Q226" s="11">
        <v>0</v>
      </c>
      <c r="R226" s="4"/>
      <c r="S226" s="12"/>
    </row>
    <row r="227" spans="1:19" x14ac:dyDescent="0.25">
      <c r="A227" s="9" t="s">
        <v>233</v>
      </c>
      <c r="B227" s="9" t="s">
        <v>291</v>
      </c>
      <c r="C227" s="4">
        <v>201003037</v>
      </c>
      <c r="D227" s="4" t="s">
        <v>239</v>
      </c>
      <c r="E227" s="4" t="str">
        <f>"061702010"</f>
        <v>061702010</v>
      </c>
      <c r="F227" s="10">
        <v>40295</v>
      </c>
      <c r="G227" s="11">
        <v>38000</v>
      </c>
      <c r="H227" s="11">
        <v>38000</v>
      </c>
      <c r="I227" s="4" t="s">
        <v>30</v>
      </c>
      <c r="J227" s="4" t="s">
        <v>31</v>
      </c>
      <c r="K227" s="11">
        <v>0</v>
      </c>
      <c r="L227" s="4"/>
      <c r="M227" s="4"/>
      <c r="N227" s="11">
        <v>0</v>
      </c>
      <c r="O227" s="4"/>
      <c r="P227" s="4"/>
      <c r="Q227" s="11">
        <v>0</v>
      </c>
      <c r="R227" s="4"/>
      <c r="S227" s="12"/>
    </row>
    <row r="228" spans="1:19" x14ac:dyDescent="0.25">
      <c r="A228" s="9" t="s">
        <v>233</v>
      </c>
      <c r="B228" s="9" t="s">
        <v>291</v>
      </c>
      <c r="C228" s="4">
        <v>201003192</v>
      </c>
      <c r="D228" s="4" t="s">
        <v>240</v>
      </c>
      <c r="E228" s="4" t="str">
        <f>"063342010"</f>
        <v>063342010</v>
      </c>
      <c r="F228" s="10">
        <v>40297</v>
      </c>
      <c r="G228" s="11">
        <v>10500</v>
      </c>
      <c r="H228" s="11">
        <v>10500</v>
      </c>
      <c r="I228" s="4" t="s">
        <v>30</v>
      </c>
      <c r="J228" s="4" t="s">
        <v>31</v>
      </c>
      <c r="K228" s="11">
        <v>0</v>
      </c>
      <c r="L228" s="4"/>
      <c r="M228" s="4"/>
      <c r="N228" s="11">
        <v>0</v>
      </c>
      <c r="O228" s="4"/>
      <c r="P228" s="4"/>
      <c r="Q228" s="11">
        <v>0</v>
      </c>
      <c r="R228" s="4"/>
      <c r="S228" s="12"/>
    </row>
    <row r="229" spans="1:19" x14ac:dyDescent="0.25">
      <c r="A229" s="9" t="s">
        <v>233</v>
      </c>
      <c r="B229" s="9" t="s">
        <v>291</v>
      </c>
      <c r="C229" s="4">
        <v>201004814</v>
      </c>
      <c r="D229" s="4"/>
      <c r="E229" s="4" t="str">
        <f>"099292010"</f>
        <v>099292010</v>
      </c>
      <c r="F229" s="10">
        <v>40396</v>
      </c>
      <c r="G229" s="11">
        <v>1466132.48</v>
      </c>
      <c r="H229" s="11">
        <v>1462810.9</v>
      </c>
      <c r="I229" s="4" t="s">
        <v>142</v>
      </c>
      <c r="J229" s="4" t="s">
        <v>143</v>
      </c>
      <c r="K229" s="11">
        <v>0</v>
      </c>
      <c r="L229" s="4"/>
      <c r="M229" s="4"/>
      <c r="N229" s="11">
        <v>0</v>
      </c>
      <c r="O229" s="4"/>
      <c r="P229" s="4"/>
      <c r="Q229" s="11">
        <v>3321.58</v>
      </c>
      <c r="R229" s="4" t="s">
        <v>142</v>
      </c>
      <c r="S229" s="12" t="s">
        <v>143</v>
      </c>
    </row>
    <row r="230" spans="1:19" x14ac:dyDescent="0.25">
      <c r="A230" s="9" t="s">
        <v>233</v>
      </c>
      <c r="B230" s="9" t="s">
        <v>291</v>
      </c>
      <c r="C230" s="4">
        <v>201005102</v>
      </c>
      <c r="D230" s="4" t="s">
        <v>2534</v>
      </c>
      <c r="E230" s="4" t="str">
        <f>"101952010"</f>
        <v>101952010</v>
      </c>
      <c r="F230" s="10">
        <v>40408</v>
      </c>
      <c r="G230" s="11">
        <v>1859.46</v>
      </c>
      <c r="H230" s="11">
        <v>0</v>
      </c>
      <c r="I230" s="4"/>
      <c r="J230" s="4"/>
      <c r="K230" s="11">
        <v>1859.46</v>
      </c>
      <c r="L230" s="4" t="s">
        <v>234</v>
      </c>
      <c r="M230" s="4" t="s">
        <v>235</v>
      </c>
      <c r="N230" s="11">
        <v>0</v>
      </c>
      <c r="O230" s="4"/>
      <c r="P230" s="4"/>
      <c r="Q230" s="11">
        <v>0</v>
      </c>
      <c r="R230" s="4"/>
      <c r="S230" s="12"/>
    </row>
    <row r="231" spans="1:19" x14ac:dyDescent="0.25">
      <c r="A231" s="9" t="s">
        <v>241</v>
      </c>
      <c r="B231" s="9" t="s">
        <v>291</v>
      </c>
      <c r="C231" s="4">
        <v>201000387</v>
      </c>
      <c r="D231" s="4"/>
      <c r="E231" s="4" t="str">
        <f>"011592010"</f>
        <v>011592010</v>
      </c>
      <c r="F231" s="10">
        <v>40127</v>
      </c>
      <c r="G231" s="11">
        <v>11006.72</v>
      </c>
      <c r="H231" s="11">
        <v>10995.92</v>
      </c>
      <c r="I231" s="4" t="s">
        <v>142</v>
      </c>
      <c r="J231" s="4" t="s">
        <v>143</v>
      </c>
      <c r="K231" s="11">
        <v>0</v>
      </c>
      <c r="L231" s="4"/>
      <c r="M231" s="4"/>
      <c r="N231" s="11">
        <v>0</v>
      </c>
      <c r="O231" s="4"/>
      <c r="P231" s="4"/>
      <c r="Q231" s="11">
        <v>10.8</v>
      </c>
      <c r="R231" s="4" t="s">
        <v>142</v>
      </c>
      <c r="S231" s="12" t="s">
        <v>143</v>
      </c>
    </row>
    <row r="232" spans="1:19" x14ac:dyDescent="0.25">
      <c r="A232" s="9" t="s">
        <v>241</v>
      </c>
      <c r="B232" s="9" t="s">
        <v>291</v>
      </c>
      <c r="C232" s="4">
        <v>201002923</v>
      </c>
      <c r="D232" s="4"/>
      <c r="E232" s="4" t="str">
        <f>"058052010"</f>
        <v>058052010</v>
      </c>
      <c r="F232" s="10">
        <v>40282</v>
      </c>
      <c r="G232" s="11">
        <v>13380.49</v>
      </c>
      <c r="H232" s="11">
        <v>13380.49</v>
      </c>
      <c r="I232" s="4" t="s">
        <v>142</v>
      </c>
      <c r="J232" s="4" t="s">
        <v>143</v>
      </c>
      <c r="K232" s="11">
        <v>0</v>
      </c>
      <c r="L232" s="4"/>
      <c r="M232" s="4"/>
      <c r="N232" s="11">
        <v>0</v>
      </c>
      <c r="O232" s="4"/>
      <c r="P232" s="4"/>
      <c r="Q232" s="11">
        <v>0</v>
      </c>
      <c r="R232" s="4"/>
      <c r="S232" s="12"/>
    </row>
    <row r="233" spans="1:19" x14ac:dyDescent="0.25">
      <c r="A233" s="9" t="s">
        <v>241</v>
      </c>
      <c r="B233" s="9" t="s">
        <v>291</v>
      </c>
      <c r="C233" s="4">
        <v>201003282</v>
      </c>
      <c r="D233" s="4"/>
      <c r="E233" s="4" t="str">
        <f>"065802010"</f>
        <v>065802010</v>
      </c>
      <c r="F233" s="10">
        <v>40304</v>
      </c>
      <c r="G233" s="11">
        <v>12269.22</v>
      </c>
      <c r="H233" s="11">
        <v>12269.22</v>
      </c>
      <c r="I233" s="4" t="s">
        <v>142</v>
      </c>
      <c r="J233" s="4" t="s">
        <v>143</v>
      </c>
      <c r="K233" s="11">
        <v>0</v>
      </c>
      <c r="L233" s="4"/>
      <c r="M233" s="4"/>
      <c r="N233" s="11">
        <v>0</v>
      </c>
      <c r="O233" s="4"/>
      <c r="P233" s="4"/>
      <c r="Q233" s="11">
        <v>0</v>
      </c>
      <c r="R233" s="4"/>
      <c r="S233" s="12"/>
    </row>
    <row r="234" spans="1:19" x14ac:dyDescent="0.25">
      <c r="A234" s="9" t="s">
        <v>242</v>
      </c>
      <c r="B234" s="9" t="s">
        <v>291</v>
      </c>
      <c r="C234" s="4">
        <v>201003756</v>
      </c>
      <c r="D234" s="4" t="s">
        <v>243</v>
      </c>
      <c r="E234" s="4" t="str">
        <f>"077392010"</f>
        <v>077392010</v>
      </c>
      <c r="F234" s="10">
        <v>40340</v>
      </c>
      <c r="G234" s="11">
        <v>107913.82</v>
      </c>
      <c r="H234" s="11">
        <v>107913.82</v>
      </c>
      <c r="I234" s="4" t="s">
        <v>142</v>
      </c>
      <c r="J234" s="4" t="s">
        <v>143</v>
      </c>
      <c r="K234" s="11">
        <v>0</v>
      </c>
      <c r="L234" s="4"/>
      <c r="M234" s="4"/>
      <c r="N234" s="11">
        <v>0</v>
      </c>
      <c r="O234" s="4"/>
      <c r="P234" s="4"/>
      <c r="Q234" s="11">
        <v>0</v>
      </c>
      <c r="R234" s="4"/>
      <c r="S234" s="12"/>
    </row>
    <row r="235" spans="1:19" x14ac:dyDescent="0.25">
      <c r="A235" s="9" t="s">
        <v>244</v>
      </c>
      <c r="B235" s="9" t="s">
        <v>291</v>
      </c>
      <c r="C235" s="4">
        <v>201002189</v>
      </c>
      <c r="D235" s="4"/>
      <c r="E235" s="4" t="str">
        <f>"043752010"</f>
        <v>043752010</v>
      </c>
      <c r="F235" s="10">
        <v>40245</v>
      </c>
      <c r="G235" s="11">
        <v>512534.64</v>
      </c>
      <c r="H235" s="11">
        <v>512534.64</v>
      </c>
      <c r="I235" s="4" t="s">
        <v>142</v>
      </c>
      <c r="J235" s="4" t="s">
        <v>143</v>
      </c>
      <c r="K235" s="11">
        <v>0</v>
      </c>
      <c r="L235" s="4"/>
      <c r="M235" s="4"/>
      <c r="N235" s="11">
        <v>0</v>
      </c>
      <c r="O235" s="4"/>
      <c r="P235" s="4"/>
      <c r="Q235" s="11">
        <v>0</v>
      </c>
      <c r="R235" s="4"/>
      <c r="S235" s="12"/>
    </row>
    <row r="236" spans="1:19" x14ac:dyDescent="0.25">
      <c r="A236" s="9" t="s">
        <v>244</v>
      </c>
      <c r="B236" s="9" t="s">
        <v>291</v>
      </c>
      <c r="C236" s="4">
        <v>201002193</v>
      </c>
      <c r="D236" s="4"/>
      <c r="E236" s="4" t="str">
        <f>"043832010"</f>
        <v>043832010</v>
      </c>
      <c r="F236" s="10">
        <v>40245</v>
      </c>
      <c r="G236" s="11">
        <v>99139.15</v>
      </c>
      <c r="H236" s="11">
        <v>99139.15</v>
      </c>
      <c r="I236" s="4" t="s">
        <v>142</v>
      </c>
      <c r="J236" s="4" t="s">
        <v>143</v>
      </c>
      <c r="K236" s="11">
        <v>0</v>
      </c>
      <c r="L236" s="4"/>
      <c r="M236" s="4"/>
      <c r="N236" s="11">
        <v>0</v>
      </c>
      <c r="O236" s="4"/>
      <c r="P236" s="4"/>
      <c r="Q236" s="11">
        <v>0</v>
      </c>
      <c r="R236" s="4"/>
      <c r="S236" s="12"/>
    </row>
    <row r="237" spans="1:19" x14ac:dyDescent="0.25">
      <c r="A237" s="9" t="s">
        <v>244</v>
      </c>
      <c r="B237" s="9" t="s">
        <v>291</v>
      </c>
      <c r="C237" s="4">
        <v>201005060</v>
      </c>
      <c r="D237" s="4"/>
      <c r="E237" s="4" t="str">
        <f>"101232010"</f>
        <v>101232010</v>
      </c>
      <c r="F237" s="10">
        <v>40407</v>
      </c>
      <c r="G237" s="11">
        <v>94556.86</v>
      </c>
      <c r="H237" s="11">
        <v>94556.86</v>
      </c>
      <c r="I237" s="4" t="s">
        <v>142</v>
      </c>
      <c r="J237" s="4" t="s">
        <v>143</v>
      </c>
      <c r="K237" s="11">
        <v>0</v>
      </c>
      <c r="L237" s="4"/>
      <c r="M237" s="4"/>
      <c r="N237" s="11">
        <v>0</v>
      </c>
      <c r="O237" s="4"/>
      <c r="P237" s="4"/>
      <c r="Q237" s="11">
        <v>0</v>
      </c>
      <c r="R237" s="4"/>
      <c r="S237" s="12"/>
    </row>
    <row r="238" spans="1:19" x14ac:dyDescent="0.25">
      <c r="A238" s="9" t="s">
        <v>244</v>
      </c>
      <c r="B238" s="9" t="s">
        <v>291</v>
      </c>
      <c r="C238" s="4">
        <v>201005062</v>
      </c>
      <c r="D238" s="4"/>
      <c r="E238" s="4" t="str">
        <f>"101252010"</f>
        <v>101252010</v>
      </c>
      <c r="F238" s="10">
        <v>40407</v>
      </c>
      <c r="G238" s="11">
        <v>16808.55</v>
      </c>
      <c r="H238" s="11">
        <v>16808.55</v>
      </c>
      <c r="I238" s="4" t="s">
        <v>142</v>
      </c>
      <c r="J238" s="4" t="s">
        <v>143</v>
      </c>
      <c r="K238" s="11">
        <v>0</v>
      </c>
      <c r="L238" s="4"/>
      <c r="M238" s="4"/>
      <c r="N238" s="11">
        <v>0</v>
      </c>
      <c r="O238" s="4"/>
      <c r="P238" s="4"/>
      <c r="Q238" s="11">
        <v>0</v>
      </c>
      <c r="R238" s="4"/>
      <c r="S238" s="12"/>
    </row>
    <row r="239" spans="1:19" x14ac:dyDescent="0.25">
      <c r="A239" s="9" t="s">
        <v>245</v>
      </c>
      <c r="B239" s="9" t="s">
        <v>291</v>
      </c>
      <c r="C239" s="4">
        <v>201000669</v>
      </c>
      <c r="D239" s="4" t="s">
        <v>246</v>
      </c>
      <c r="E239" s="4" t="str">
        <f>"012592010"</f>
        <v>012592010</v>
      </c>
      <c r="F239" s="10">
        <v>40134</v>
      </c>
      <c r="G239" s="11">
        <v>196687.65</v>
      </c>
      <c r="H239" s="11">
        <v>196687.65</v>
      </c>
      <c r="I239" s="4" t="s">
        <v>142</v>
      </c>
      <c r="J239" s="4" t="s">
        <v>143</v>
      </c>
      <c r="K239" s="11">
        <v>0</v>
      </c>
      <c r="L239" s="4"/>
      <c r="M239" s="4"/>
      <c r="N239" s="11">
        <v>0</v>
      </c>
      <c r="O239" s="4"/>
      <c r="P239" s="4"/>
      <c r="Q239" s="11">
        <v>0</v>
      </c>
      <c r="R239" s="4"/>
      <c r="S239" s="12"/>
    </row>
    <row r="240" spans="1:19" x14ac:dyDescent="0.25">
      <c r="A240" s="9" t="s">
        <v>247</v>
      </c>
      <c r="B240" s="9" t="s">
        <v>291</v>
      </c>
      <c r="C240" s="4">
        <v>201001617</v>
      </c>
      <c r="D240" s="4"/>
      <c r="E240" s="4" t="str">
        <f>"033722010"</f>
        <v>033722010</v>
      </c>
      <c r="F240" s="10">
        <v>40204</v>
      </c>
      <c r="G240" s="11">
        <v>1125000</v>
      </c>
      <c r="H240" s="11">
        <v>1125000</v>
      </c>
      <c r="I240" s="4" t="s">
        <v>142</v>
      </c>
      <c r="J240" s="4" t="s">
        <v>143</v>
      </c>
      <c r="K240" s="11">
        <v>0</v>
      </c>
      <c r="L240" s="4"/>
      <c r="M240" s="4"/>
      <c r="N240" s="11">
        <v>0</v>
      </c>
      <c r="O240" s="4"/>
      <c r="P240" s="4"/>
      <c r="Q240" s="11">
        <v>0</v>
      </c>
      <c r="R240" s="4"/>
      <c r="S240" s="12"/>
    </row>
    <row r="241" spans="1:19" x14ac:dyDescent="0.25">
      <c r="A241" s="9" t="s">
        <v>248</v>
      </c>
      <c r="B241" s="9" t="s">
        <v>291</v>
      </c>
      <c r="C241" s="4">
        <v>201000618</v>
      </c>
      <c r="D241" s="4"/>
      <c r="E241" s="4" t="str">
        <f>"011932010"</f>
        <v>011932010</v>
      </c>
      <c r="F241" s="10">
        <v>40133</v>
      </c>
      <c r="G241" s="11">
        <v>29914.31</v>
      </c>
      <c r="H241" s="11">
        <v>29914.31</v>
      </c>
      <c r="I241" s="4" t="s">
        <v>142</v>
      </c>
      <c r="J241" s="4" t="s">
        <v>143</v>
      </c>
      <c r="K241" s="11">
        <v>0</v>
      </c>
      <c r="L241" s="4"/>
      <c r="M241" s="4"/>
      <c r="N241" s="11">
        <v>0</v>
      </c>
      <c r="O241" s="4"/>
      <c r="P241" s="4"/>
      <c r="Q241" s="11">
        <v>0</v>
      </c>
      <c r="R241" s="4"/>
      <c r="S241" s="12"/>
    </row>
    <row r="242" spans="1:19" x14ac:dyDescent="0.25">
      <c r="A242" s="9" t="s">
        <v>248</v>
      </c>
      <c r="B242" s="9" t="s">
        <v>291</v>
      </c>
      <c r="C242" s="4">
        <v>201003394</v>
      </c>
      <c r="D242" s="4"/>
      <c r="E242" s="4" t="str">
        <f>"067602010"</f>
        <v>067602010</v>
      </c>
      <c r="F242" s="10">
        <v>40310</v>
      </c>
      <c r="G242" s="11">
        <v>14839.88</v>
      </c>
      <c r="H242" s="11">
        <v>14839.88</v>
      </c>
      <c r="I242" s="4" t="s">
        <v>142</v>
      </c>
      <c r="J242" s="4" t="s">
        <v>143</v>
      </c>
      <c r="K242" s="11">
        <v>0</v>
      </c>
      <c r="L242" s="4"/>
      <c r="M242" s="4"/>
      <c r="N242" s="11">
        <v>0</v>
      </c>
      <c r="O242" s="4"/>
      <c r="P242" s="4"/>
      <c r="Q242" s="11">
        <v>0</v>
      </c>
      <c r="R242" s="4"/>
      <c r="S242" s="12"/>
    </row>
    <row r="243" spans="1:19" x14ac:dyDescent="0.25">
      <c r="A243" s="9" t="s">
        <v>248</v>
      </c>
      <c r="B243" s="9" t="s">
        <v>291</v>
      </c>
      <c r="C243" s="4">
        <v>201004490</v>
      </c>
      <c r="D243" s="4"/>
      <c r="E243" s="4" t="str">
        <f>"090002010"</f>
        <v>090002010</v>
      </c>
      <c r="F243" s="10">
        <v>40367</v>
      </c>
      <c r="G243" s="11">
        <v>20144.86</v>
      </c>
      <c r="H243" s="11">
        <v>20144.86</v>
      </c>
      <c r="I243" s="4" t="s">
        <v>142</v>
      </c>
      <c r="J243" s="4" t="s">
        <v>143</v>
      </c>
      <c r="K243" s="11">
        <v>0</v>
      </c>
      <c r="L243" s="4"/>
      <c r="M243" s="4"/>
      <c r="N243" s="11">
        <v>0</v>
      </c>
      <c r="O243" s="4"/>
      <c r="P243" s="4"/>
      <c r="Q243" s="11">
        <v>0</v>
      </c>
      <c r="R243" s="4"/>
      <c r="S243" s="12"/>
    </row>
    <row r="244" spans="1:19" x14ac:dyDescent="0.25">
      <c r="A244" s="9" t="s">
        <v>249</v>
      </c>
      <c r="B244" s="9" t="s">
        <v>291</v>
      </c>
      <c r="C244" s="4">
        <v>201005428</v>
      </c>
      <c r="D244" s="4" t="s">
        <v>250</v>
      </c>
      <c r="E244" s="4" t="str">
        <f>"111532010"</f>
        <v>111532010</v>
      </c>
      <c r="F244" s="10">
        <v>40438</v>
      </c>
      <c r="G244" s="11">
        <v>730734.12</v>
      </c>
      <c r="H244" s="11">
        <v>730734.12</v>
      </c>
      <c r="I244" s="4" t="s">
        <v>251</v>
      </c>
      <c r="J244" s="4" t="s">
        <v>252</v>
      </c>
      <c r="K244" s="11">
        <v>0</v>
      </c>
      <c r="L244" s="4"/>
      <c r="M244" s="4"/>
      <c r="N244" s="11">
        <v>0</v>
      </c>
      <c r="O244" s="4"/>
      <c r="P244" s="4"/>
      <c r="Q244" s="11">
        <v>0</v>
      </c>
      <c r="R244" s="4"/>
      <c r="S244" s="12"/>
    </row>
    <row r="245" spans="1:19" x14ac:dyDescent="0.25">
      <c r="A245" s="9" t="s">
        <v>249</v>
      </c>
      <c r="B245" s="9" t="s">
        <v>291</v>
      </c>
      <c r="C245" s="4">
        <v>201005428</v>
      </c>
      <c r="D245" s="4" t="s">
        <v>250</v>
      </c>
      <c r="E245" s="4" t="str">
        <f>"111552010"</f>
        <v>111552010</v>
      </c>
      <c r="F245" s="10">
        <v>40449</v>
      </c>
      <c r="G245" s="11">
        <v>71180.58</v>
      </c>
      <c r="H245" s="11">
        <v>71180.58</v>
      </c>
      <c r="I245" s="4" t="s">
        <v>251</v>
      </c>
      <c r="J245" s="4" t="s">
        <v>252</v>
      </c>
      <c r="K245" s="11">
        <v>0</v>
      </c>
      <c r="L245" s="4"/>
      <c r="M245" s="4"/>
      <c r="N245" s="11">
        <v>0</v>
      </c>
      <c r="O245" s="4"/>
      <c r="P245" s="4"/>
      <c r="Q245" s="11">
        <v>0</v>
      </c>
      <c r="R245" s="4"/>
      <c r="S245" s="12"/>
    </row>
    <row r="246" spans="1:19" x14ac:dyDescent="0.25">
      <c r="A246" s="9" t="s">
        <v>249</v>
      </c>
      <c r="B246" s="9" t="s">
        <v>291</v>
      </c>
      <c r="C246" s="4">
        <v>201005428</v>
      </c>
      <c r="D246" s="4" t="s">
        <v>250</v>
      </c>
      <c r="E246" s="4" t="str">
        <f>"111572010"</f>
        <v>111572010</v>
      </c>
      <c r="F246" s="10">
        <v>40449</v>
      </c>
      <c r="G246" s="11">
        <v>13411.3</v>
      </c>
      <c r="H246" s="11">
        <v>13411.3</v>
      </c>
      <c r="I246" s="4" t="s">
        <v>251</v>
      </c>
      <c r="J246" s="4" t="s">
        <v>252</v>
      </c>
      <c r="K246" s="11">
        <v>0</v>
      </c>
      <c r="L246" s="4"/>
      <c r="M246" s="4"/>
      <c r="N246" s="11">
        <v>0</v>
      </c>
      <c r="O246" s="4"/>
      <c r="P246" s="4"/>
      <c r="Q246" s="11">
        <v>0</v>
      </c>
      <c r="R246" s="4"/>
      <c r="S246" s="12"/>
    </row>
    <row r="247" spans="1:19" x14ac:dyDescent="0.25">
      <c r="A247" s="9" t="s">
        <v>249</v>
      </c>
      <c r="B247" s="9" t="s">
        <v>291</v>
      </c>
      <c r="C247" s="4">
        <v>201005428</v>
      </c>
      <c r="D247" s="4" t="s">
        <v>250</v>
      </c>
      <c r="E247" s="4" t="str">
        <f>"111592010"</f>
        <v>111592010</v>
      </c>
      <c r="F247" s="10">
        <v>40449</v>
      </c>
      <c r="G247" s="11">
        <v>3887.45</v>
      </c>
      <c r="H247" s="11">
        <v>3887.45</v>
      </c>
      <c r="I247" s="4" t="s">
        <v>251</v>
      </c>
      <c r="J247" s="4" t="s">
        <v>252</v>
      </c>
      <c r="K247" s="11">
        <v>0</v>
      </c>
      <c r="L247" s="4"/>
      <c r="M247" s="4"/>
      <c r="N247" s="11">
        <v>0</v>
      </c>
      <c r="O247" s="4"/>
      <c r="P247" s="4"/>
      <c r="Q247" s="11">
        <v>0</v>
      </c>
      <c r="R247" s="4"/>
      <c r="S247" s="12"/>
    </row>
    <row r="248" spans="1:19" x14ac:dyDescent="0.25">
      <c r="A248" s="9" t="s">
        <v>249</v>
      </c>
      <c r="B248" s="9" t="s">
        <v>291</v>
      </c>
      <c r="C248" s="4">
        <v>201005428</v>
      </c>
      <c r="D248" s="4" t="s">
        <v>250</v>
      </c>
      <c r="E248" s="4" t="str">
        <f>"111612010"</f>
        <v>111612010</v>
      </c>
      <c r="F248" s="10">
        <v>40449</v>
      </c>
      <c r="G248" s="11">
        <v>910.84</v>
      </c>
      <c r="H248" s="11">
        <v>910.84</v>
      </c>
      <c r="I248" s="4" t="s">
        <v>251</v>
      </c>
      <c r="J248" s="4" t="s">
        <v>252</v>
      </c>
      <c r="K248" s="11">
        <v>0</v>
      </c>
      <c r="L248" s="4"/>
      <c r="M248" s="4"/>
      <c r="N248" s="11">
        <v>0</v>
      </c>
      <c r="O248" s="4"/>
      <c r="P248" s="4"/>
      <c r="Q248" s="11">
        <v>0</v>
      </c>
      <c r="R248" s="4"/>
      <c r="S248" s="12"/>
    </row>
    <row r="249" spans="1:19" x14ac:dyDescent="0.25">
      <c r="A249" s="9" t="s">
        <v>253</v>
      </c>
      <c r="B249" s="9" t="s">
        <v>291</v>
      </c>
      <c r="C249" s="4">
        <v>201000238</v>
      </c>
      <c r="D249" s="4" t="s">
        <v>2534</v>
      </c>
      <c r="E249" s="4" t="str">
        <f>"004242010"</f>
        <v>004242010</v>
      </c>
      <c r="F249" s="10">
        <v>40105</v>
      </c>
      <c r="G249" s="11">
        <v>18000</v>
      </c>
      <c r="H249" s="11">
        <v>0</v>
      </c>
      <c r="I249" s="4"/>
      <c r="J249" s="4"/>
      <c r="K249" s="11">
        <v>18000</v>
      </c>
      <c r="L249" s="4" t="s">
        <v>234</v>
      </c>
      <c r="M249" s="4" t="s">
        <v>235</v>
      </c>
      <c r="N249" s="11">
        <v>0</v>
      </c>
      <c r="O249" s="4"/>
      <c r="P249" s="4"/>
      <c r="Q249" s="11">
        <v>0</v>
      </c>
      <c r="R249" s="4"/>
      <c r="S249" s="12"/>
    </row>
    <row r="250" spans="1:19" x14ac:dyDescent="0.25">
      <c r="A250" s="9" t="s">
        <v>254</v>
      </c>
      <c r="B250" s="9" t="s">
        <v>291</v>
      </c>
      <c r="C250" s="4">
        <v>201000017</v>
      </c>
      <c r="D250" s="4" t="s">
        <v>255</v>
      </c>
      <c r="E250" s="4" t="str">
        <f>"001842010"</f>
        <v>001842010</v>
      </c>
      <c r="F250" s="10">
        <v>40094</v>
      </c>
      <c r="G250" s="11">
        <v>32000</v>
      </c>
      <c r="H250" s="11">
        <v>32000</v>
      </c>
      <c r="I250" s="4" t="s">
        <v>30</v>
      </c>
      <c r="J250" s="4" t="s">
        <v>31</v>
      </c>
      <c r="K250" s="11">
        <v>0</v>
      </c>
      <c r="L250" s="4"/>
      <c r="M250" s="4"/>
      <c r="N250" s="11">
        <v>0</v>
      </c>
      <c r="O250" s="4"/>
      <c r="P250" s="4"/>
      <c r="Q250" s="11">
        <v>0</v>
      </c>
      <c r="R250" s="4"/>
      <c r="S250" s="12"/>
    </row>
    <row r="251" spans="1:19" x14ac:dyDescent="0.25">
      <c r="A251" s="9" t="s">
        <v>254</v>
      </c>
      <c r="B251" s="9" t="s">
        <v>291</v>
      </c>
      <c r="C251" s="4">
        <v>201004555</v>
      </c>
      <c r="D251" s="4"/>
      <c r="E251" s="4" t="str">
        <f>"111922010"</f>
        <v>111922010</v>
      </c>
      <c r="F251" s="10">
        <v>40444</v>
      </c>
      <c r="G251" s="11">
        <v>3948</v>
      </c>
      <c r="H251" s="11">
        <v>3948</v>
      </c>
      <c r="I251" s="4" t="s">
        <v>88</v>
      </c>
      <c r="J251" s="4" t="s">
        <v>89</v>
      </c>
      <c r="K251" s="11">
        <v>0</v>
      </c>
      <c r="L251" s="4"/>
      <c r="M251" s="4"/>
      <c r="N251" s="11">
        <v>0</v>
      </c>
      <c r="O251" s="4"/>
      <c r="P251" s="4"/>
      <c r="Q251" s="11">
        <v>0</v>
      </c>
      <c r="R251" s="4"/>
      <c r="S251" s="12"/>
    </row>
    <row r="252" spans="1:19" x14ac:dyDescent="0.25">
      <c r="A252" s="9" t="s">
        <v>256</v>
      </c>
      <c r="B252" s="9" t="s">
        <v>291</v>
      </c>
      <c r="C252" s="4">
        <v>201000145</v>
      </c>
      <c r="D252" s="4" t="s">
        <v>257</v>
      </c>
      <c r="E252" s="4" t="str">
        <f>"004952010"</f>
        <v>004952010</v>
      </c>
      <c r="F252" s="10">
        <v>40109</v>
      </c>
      <c r="G252" s="11">
        <v>57126518</v>
      </c>
      <c r="H252" s="11">
        <v>57126518</v>
      </c>
      <c r="I252" s="4" t="s">
        <v>88</v>
      </c>
      <c r="J252" s="4" t="s">
        <v>89</v>
      </c>
      <c r="K252" s="11">
        <v>0</v>
      </c>
      <c r="L252" s="4"/>
      <c r="M252" s="4"/>
      <c r="N252" s="11">
        <v>0</v>
      </c>
      <c r="O252" s="4"/>
      <c r="P252" s="4"/>
      <c r="Q252" s="11">
        <v>0</v>
      </c>
      <c r="R252" s="4"/>
      <c r="S252" s="12"/>
    </row>
    <row r="253" spans="1:19" x14ac:dyDescent="0.25">
      <c r="A253" s="9" t="s">
        <v>256</v>
      </c>
      <c r="B253" s="9" t="s">
        <v>291</v>
      </c>
      <c r="C253" s="4">
        <v>201000496</v>
      </c>
      <c r="D253" s="4" t="s">
        <v>258</v>
      </c>
      <c r="E253" s="4" t="str">
        <f>"009412010"</f>
        <v>009412010</v>
      </c>
      <c r="F253" s="10">
        <v>40122</v>
      </c>
      <c r="G253" s="11">
        <v>70000</v>
      </c>
      <c r="H253" s="11">
        <v>70000</v>
      </c>
      <c r="I253" s="4" t="s">
        <v>30</v>
      </c>
      <c r="J253" s="4" t="s">
        <v>31</v>
      </c>
      <c r="K253" s="11">
        <v>0</v>
      </c>
      <c r="L253" s="4"/>
      <c r="M253" s="4"/>
      <c r="N253" s="11">
        <v>0</v>
      </c>
      <c r="O253" s="4"/>
      <c r="P253" s="4"/>
      <c r="Q253" s="11">
        <v>0</v>
      </c>
      <c r="R253" s="4"/>
      <c r="S253" s="12"/>
    </row>
    <row r="254" spans="1:19" x14ac:dyDescent="0.25">
      <c r="A254" s="9" t="s">
        <v>256</v>
      </c>
      <c r="B254" s="9" t="s">
        <v>291</v>
      </c>
      <c r="C254" s="4">
        <v>201000587</v>
      </c>
      <c r="D254" s="4"/>
      <c r="E254" s="4" t="str">
        <f>"011032010"</f>
        <v>011032010</v>
      </c>
      <c r="F254" s="10">
        <v>40129</v>
      </c>
      <c r="G254" s="11">
        <v>3400.95</v>
      </c>
      <c r="H254" s="11">
        <v>3400.95</v>
      </c>
      <c r="I254" s="4" t="s">
        <v>142</v>
      </c>
      <c r="J254" s="4" t="s">
        <v>143</v>
      </c>
      <c r="K254" s="11">
        <v>0</v>
      </c>
      <c r="L254" s="4"/>
      <c r="M254" s="4"/>
      <c r="N254" s="11">
        <v>0</v>
      </c>
      <c r="O254" s="4"/>
      <c r="P254" s="4"/>
      <c r="Q254" s="11">
        <v>0</v>
      </c>
      <c r="R254" s="4"/>
      <c r="S254" s="12"/>
    </row>
    <row r="255" spans="1:19" x14ac:dyDescent="0.25">
      <c r="A255" s="9" t="s">
        <v>256</v>
      </c>
      <c r="B255" s="9" t="s">
        <v>291</v>
      </c>
      <c r="C255" s="4">
        <v>201000661</v>
      </c>
      <c r="D255" s="4"/>
      <c r="E255" s="4" t="str">
        <f>"012952010"</f>
        <v>012952010</v>
      </c>
      <c r="F255" s="10">
        <v>40136</v>
      </c>
      <c r="G255" s="11">
        <v>3400.95</v>
      </c>
      <c r="H255" s="11">
        <v>3400.95</v>
      </c>
      <c r="I255" s="4" t="s">
        <v>142</v>
      </c>
      <c r="J255" s="4" t="s">
        <v>143</v>
      </c>
      <c r="K255" s="11">
        <v>0</v>
      </c>
      <c r="L255" s="4"/>
      <c r="M255" s="4"/>
      <c r="N255" s="11">
        <v>0</v>
      </c>
      <c r="O255" s="4"/>
      <c r="P255" s="4"/>
      <c r="Q255" s="11">
        <v>0</v>
      </c>
      <c r="R255" s="4"/>
      <c r="S255" s="12"/>
    </row>
    <row r="256" spans="1:19" x14ac:dyDescent="0.25">
      <c r="A256" s="9" t="s">
        <v>256</v>
      </c>
      <c r="B256" s="9" t="s">
        <v>291</v>
      </c>
      <c r="C256" s="4">
        <v>201001553</v>
      </c>
      <c r="D256" s="4"/>
      <c r="E256" s="4" t="str">
        <f>"032122010"</f>
        <v>032122010</v>
      </c>
      <c r="F256" s="10">
        <v>40200</v>
      </c>
      <c r="G256" s="11">
        <v>8868716</v>
      </c>
      <c r="H256" s="11">
        <v>8868716</v>
      </c>
      <c r="I256" s="4" t="s">
        <v>88</v>
      </c>
      <c r="J256" s="4" t="s">
        <v>89</v>
      </c>
      <c r="K256" s="11">
        <v>0</v>
      </c>
      <c r="L256" s="4"/>
      <c r="M256" s="4"/>
      <c r="N256" s="11">
        <v>0</v>
      </c>
      <c r="O256" s="4"/>
      <c r="P256" s="4"/>
      <c r="Q256" s="11">
        <v>0</v>
      </c>
      <c r="R256" s="4"/>
      <c r="S256" s="12"/>
    </row>
    <row r="257" spans="1:19" x14ac:dyDescent="0.25">
      <c r="A257" s="9" t="s">
        <v>256</v>
      </c>
      <c r="B257" s="9" t="s">
        <v>291</v>
      </c>
      <c r="C257" s="4">
        <v>201002124</v>
      </c>
      <c r="D257" s="4"/>
      <c r="E257" s="4" t="str">
        <f>"043332010"</f>
        <v>043332010</v>
      </c>
      <c r="F257" s="10">
        <v>40241</v>
      </c>
      <c r="G257" s="11">
        <v>10202.85</v>
      </c>
      <c r="H257" s="11">
        <v>10202.85</v>
      </c>
      <c r="I257" s="4" t="s">
        <v>142</v>
      </c>
      <c r="J257" s="4" t="s">
        <v>143</v>
      </c>
      <c r="K257" s="11">
        <v>0</v>
      </c>
      <c r="L257" s="4"/>
      <c r="M257" s="4"/>
      <c r="N257" s="11">
        <v>0</v>
      </c>
      <c r="O257" s="4"/>
      <c r="P257" s="4"/>
      <c r="Q257" s="11">
        <v>0</v>
      </c>
      <c r="R257" s="4"/>
      <c r="S257" s="12"/>
    </row>
    <row r="258" spans="1:19" x14ac:dyDescent="0.25">
      <c r="A258" s="9" t="s">
        <v>256</v>
      </c>
      <c r="B258" s="9" t="s">
        <v>291</v>
      </c>
      <c r="C258" s="4">
        <v>201002209</v>
      </c>
      <c r="D258" s="4"/>
      <c r="E258" s="4" t="str">
        <f>"055032010"</f>
        <v>055032010</v>
      </c>
      <c r="F258" s="10">
        <v>40270</v>
      </c>
      <c r="G258" s="11">
        <v>5433322.3099999996</v>
      </c>
      <c r="H258" s="11">
        <v>5433322.3099999996</v>
      </c>
      <c r="I258" s="4" t="s">
        <v>88</v>
      </c>
      <c r="J258" s="4" t="s">
        <v>89</v>
      </c>
      <c r="K258" s="11">
        <v>0</v>
      </c>
      <c r="L258" s="4"/>
      <c r="M258" s="4"/>
      <c r="N258" s="11">
        <v>0</v>
      </c>
      <c r="O258" s="4"/>
      <c r="P258" s="4"/>
      <c r="Q258" s="11">
        <v>0</v>
      </c>
      <c r="R258" s="4"/>
      <c r="S258" s="12"/>
    </row>
    <row r="259" spans="1:19" x14ac:dyDescent="0.25">
      <c r="A259" s="9" t="s">
        <v>256</v>
      </c>
      <c r="B259" s="9" t="s">
        <v>291</v>
      </c>
      <c r="C259" s="4">
        <v>201003551</v>
      </c>
      <c r="D259" s="4"/>
      <c r="E259" s="4" t="str">
        <f>"071832010"</f>
        <v>071832010</v>
      </c>
      <c r="F259" s="10">
        <v>40319</v>
      </c>
      <c r="G259" s="11">
        <v>13476428.869999999</v>
      </c>
      <c r="H259" s="11">
        <v>13476428.869999999</v>
      </c>
      <c r="I259" s="4" t="s">
        <v>88</v>
      </c>
      <c r="J259" s="4" t="s">
        <v>89</v>
      </c>
      <c r="K259" s="11">
        <v>0</v>
      </c>
      <c r="L259" s="4"/>
      <c r="M259" s="4"/>
      <c r="N259" s="11">
        <v>0</v>
      </c>
      <c r="O259" s="4"/>
      <c r="P259" s="4"/>
      <c r="Q259" s="11">
        <v>0</v>
      </c>
      <c r="R259" s="4"/>
      <c r="S259" s="12"/>
    </row>
    <row r="260" spans="1:19" x14ac:dyDescent="0.25">
      <c r="A260" s="9" t="s">
        <v>256</v>
      </c>
      <c r="B260" s="9" t="s">
        <v>291</v>
      </c>
      <c r="C260" s="4">
        <v>201003614</v>
      </c>
      <c r="D260" s="4"/>
      <c r="E260" s="4" t="str">
        <f>"071992010"</f>
        <v>071992010</v>
      </c>
      <c r="F260" s="10">
        <v>40319</v>
      </c>
      <c r="G260" s="11">
        <v>10202.85</v>
      </c>
      <c r="H260" s="11">
        <v>10202.85</v>
      </c>
      <c r="I260" s="4" t="s">
        <v>142</v>
      </c>
      <c r="J260" s="4" t="s">
        <v>143</v>
      </c>
      <c r="K260" s="11">
        <v>0</v>
      </c>
      <c r="L260" s="4"/>
      <c r="M260" s="4"/>
      <c r="N260" s="11">
        <v>0</v>
      </c>
      <c r="O260" s="4"/>
      <c r="P260" s="4"/>
      <c r="Q260" s="11">
        <v>0</v>
      </c>
      <c r="R260" s="4"/>
      <c r="S260" s="12"/>
    </row>
    <row r="261" spans="1:19" x14ac:dyDescent="0.25">
      <c r="A261" s="9" t="s">
        <v>256</v>
      </c>
      <c r="B261" s="9" t="s">
        <v>291</v>
      </c>
      <c r="C261" s="4">
        <v>201003818</v>
      </c>
      <c r="D261" s="4"/>
      <c r="E261" s="4" t="str">
        <f>"077412010"</f>
        <v>077412010</v>
      </c>
      <c r="F261" s="10">
        <v>40340</v>
      </c>
      <c r="G261" s="11">
        <v>2000</v>
      </c>
      <c r="H261" s="11">
        <v>2000</v>
      </c>
      <c r="I261" s="4" t="s">
        <v>38</v>
      </c>
      <c r="J261" s="4" t="s">
        <v>39</v>
      </c>
      <c r="K261" s="11">
        <v>0</v>
      </c>
      <c r="L261" s="4"/>
      <c r="M261" s="4"/>
      <c r="N261" s="11">
        <v>0</v>
      </c>
      <c r="O261" s="4"/>
      <c r="P261" s="4"/>
      <c r="Q261" s="11">
        <v>0</v>
      </c>
      <c r="R261" s="4"/>
      <c r="S261" s="12"/>
    </row>
    <row r="262" spans="1:19" x14ac:dyDescent="0.25">
      <c r="A262" s="9" t="s">
        <v>256</v>
      </c>
      <c r="B262" s="9" t="s">
        <v>291</v>
      </c>
      <c r="C262" s="4">
        <v>201004262</v>
      </c>
      <c r="D262" s="4"/>
      <c r="E262" s="4" t="str">
        <f>"087862010"</f>
        <v>087862010</v>
      </c>
      <c r="F262" s="10">
        <v>40360</v>
      </c>
      <c r="G262" s="11">
        <v>5811297</v>
      </c>
      <c r="H262" s="11">
        <v>5811297</v>
      </c>
      <c r="I262" s="4" t="s">
        <v>88</v>
      </c>
      <c r="J262" s="4" t="s">
        <v>89</v>
      </c>
      <c r="K262" s="11">
        <v>0</v>
      </c>
      <c r="L262" s="4"/>
      <c r="M262" s="4"/>
      <c r="N262" s="11">
        <v>0</v>
      </c>
      <c r="O262" s="4"/>
      <c r="P262" s="4"/>
      <c r="Q262" s="11">
        <v>0</v>
      </c>
      <c r="R262" s="4"/>
      <c r="S262" s="12"/>
    </row>
    <row r="263" spans="1:19" x14ac:dyDescent="0.25">
      <c r="A263" s="9" t="s">
        <v>256</v>
      </c>
      <c r="B263" s="9" t="s">
        <v>291</v>
      </c>
      <c r="C263" s="4">
        <v>201004263</v>
      </c>
      <c r="D263" s="4"/>
      <c r="E263" s="4" t="str">
        <f>"087822010"</f>
        <v>087822010</v>
      </c>
      <c r="F263" s="10">
        <v>40360</v>
      </c>
      <c r="G263" s="11">
        <v>31589000.77</v>
      </c>
      <c r="H263" s="11">
        <v>31589000.77</v>
      </c>
      <c r="I263" s="4" t="s">
        <v>88</v>
      </c>
      <c r="J263" s="4" t="s">
        <v>89</v>
      </c>
      <c r="K263" s="11">
        <v>0</v>
      </c>
      <c r="L263" s="4"/>
      <c r="M263" s="4"/>
      <c r="N263" s="11">
        <v>0</v>
      </c>
      <c r="O263" s="4"/>
      <c r="P263" s="4"/>
      <c r="Q263" s="11">
        <v>0</v>
      </c>
      <c r="R263" s="4"/>
      <c r="S263" s="12"/>
    </row>
    <row r="264" spans="1:19" x14ac:dyDescent="0.25">
      <c r="A264" s="9" t="s">
        <v>256</v>
      </c>
      <c r="B264" s="9" t="s">
        <v>291</v>
      </c>
      <c r="C264" s="4">
        <v>201004434</v>
      </c>
      <c r="D264" s="4"/>
      <c r="E264" s="4" t="str">
        <f>"089102010"</f>
        <v>089102010</v>
      </c>
      <c r="F264" s="10">
        <v>40366</v>
      </c>
      <c r="G264" s="11">
        <v>7984934.6399999997</v>
      </c>
      <c r="H264" s="11">
        <v>7984934.6399999997</v>
      </c>
      <c r="I264" s="4" t="s">
        <v>88</v>
      </c>
      <c r="J264" s="4" t="s">
        <v>89</v>
      </c>
      <c r="K264" s="11">
        <v>0</v>
      </c>
      <c r="L264" s="4"/>
      <c r="M264" s="4"/>
      <c r="N264" s="11">
        <v>0</v>
      </c>
      <c r="O264" s="4"/>
      <c r="P264" s="4"/>
      <c r="Q264" s="11">
        <v>0</v>
      </c>
      <c r="R264" s="4"/>
      <c r="S264" s="12"/>
    </row>
    <row r="265" spans="1:19" x14ac:dyDescent="0.25">
      <c r="A265" s="9" t="s">
        <v>256</v>
      </c>
      <c r="B265" s="9" t="s">
        <v>291</v>
      </c>
      <c r="C265" s="4">
        <v>201004435</v>
      </c>
      <c r="D265" s="4"/>
      <c r="E265" s="4" t="str">
        <f>"088742010"</f>
        <v>088742010</v>
      </c>
      <c r="F265" s="10">
        <v>40366</v>
      </c>
      <c r="G265" s="11">
        <v>291750.48</v>
      </c>
      <c r="H265" s="11">
        <v>291750.48</v>
      </c>
      <c r="I265" s="4" t="s">
        <v>88</v>
      </c>
      <c r="J265" s="4" t="s">
        <v>89</v>
      </c>
      <c r="K265" s="11">
        <v>0</v>
      </c>
      <c r="L265" s="4"/>
      <c r="M265" s="4"/>
      <c r="N265" s="11">
        <v>0</v>
      </c>
      <c r="O265" s="4"/>
      <c r="P265" s="4"/>
      <c r="Q265" s="11">
        <v>0</v>
      </c>
      <c r="R265" s="4"/>
      <c r="S265" s="12"/>
    </row>
    <row r="266" spans="1:19" x14ac:dyDescent="0.25">
      <c r="A266" s="9" t="s">
        <v>256</v>
      </c>
      <c r="B266" s="9" t="s">
        <v>291</v>
      </c>
      <c r="C266" s="4">
        <v>201004768</v>
      </c>
      <c r="D266" s="4" t="s">
        <v>259</v>
      </c>
      <c r="E266" s="4" t="str">
        <f>"100432010"</f>
        <v>100432010</v>
      </c>
      <c r="F266" s="10">
        <v>40403</v>
      </c>
      <c r="G266" s="11">
        <v>60000</v>
      </c>
      <c r="H266" s="11">
        <v>60000</v>
      </c>
      <c r="I266" s="4" t="s">
        <v>23</v>
      </c>
      <c r="J266" s="4" t="s">
        <v>24</v>
      </c>
      <c r="K266" s="11">
        <v>0</v>
      </c>
      <c r="L266" s="4"/>
      <c r="M266" s="4"/>
      <c r="N266" s="11">
        <v>0</v>
      </c>
      <c r="O266" s="4"/>
      <c r="P266" s="4"/>
      <c r="Q266" s="11">
        <v>0</v>
      </c>
      <c r="R266" s="4"/>
      <c r="S266" s="12"/>
    </row>
    <row r="267" spans="1:19" x14ac:dyDescent="0.25">
      <c r="A267" s="9" t="s">
        <v>256</v>
      </c>
      <c r="B267" s="9" t="s">
        <v>291</v>
      </c>
      <c r="C267" s="4">
        <v>201004768</v>
      </c>
      <c r="D267" s="4" t="s">
        <v>259</v>
      </c>
      <c r="E267" s="4" t="str">
        <f>"100452010"</f>
        <v>100452010</v>
      </c>
      <c r="F267" s="10">
        <v>40403</v>
      </c>
      <c r="G267" s="11">
        <v>49791.38</v>
      </c>
      <c r="H267" s="11">
        <v>49791.38</v>
      </c>
      <c r="I267" s="4" t="s">
        <v>23</v>
      </c>
      <c r="J267" s="4" t="s">
        <v>24</v>
      </c>
      <c r="K267" s="11">
        <v>0</v>
      </c>
      <c r="L267" s="4"/>
      <c r="M267" s="4"/>
      <c r="N267" s="11">
        <v>0</v>
      </c>
      <c r="O267" s="4"/>
      <c r="P267" s="4"/>
      <c r="Q267" s="11">
        <v>0</v>
      </c>
      <c r="R267" s="4"/>
      <c r="S267" s="12"/>
    </row>
    <row r="268" spans="1:19" x14ac:dyDescent="0.25">
      <c r="A268" s="9" t="s">
        <v>256</v>
      </c>
      <c r="B268" s="9" t="s">
        <v>291</v>
      </c>
      <c r="C268" s="4">
        <v>201004775</v>
      </c>
      <c r="D268" s="4" t="s">
        <v>260</v>
      </c>
      <c r="E268" s="4" t="str">
        <f>"097832010"</f>
        <v>097832010</v>
      </c>
      <c r="F268" s="10">
        <v>40394</v>
      </c>
      <c r="G268" s="11">
        <v>650000</v>
      </c>
      <c r="H268" s="11">
        <v>650000</v>
      </c>
      <c r="I268" s="4" t="s">
        <v>38</v>
      </c>
      <c r="J268" s="4" t="s">
        <v>39</v>
      </c>
      <c r="K268" s="11">
        <v>0</v>
      </c>
      <c r="L268" s="4"/>
      <c r="M268" s="4"/>
      <c r="N268" s="11">
        <v>0</v>
      </c>
      <c r="O268" s="4"/>
      <c r="P268" s="4"/>
      <c r="Q268" s="11">
        <v>0</v>
      </c>
      <c r="R268" s="4"/>
      <c r="S268" s="12"/>
    </row>
    <row r="269" spans="1:19" x14ac:dyDescent="0.25">
      <c r="A269" s="9" t="s">
        <v>256</v>
      </c>
      <c r="B269" s="9" t="s">
        <v>291</v>
      </c>
      <c r="C269" s="4">
        <v>201005399</v>
      </c>
      <c r="D269" s="4"/>
      <c r="E269" s="4" t="str">
        <f>"107772010"</f>
        <v>107772010</v>
      </c>
      <c r="F269" s="10">
        <v>40423</v>
      </c>
      <c r="G269" s="11">
        <v>20906013.07</v>
      </c>
      <c r="H269" s="11">
        <v>20906013.07</v>
      </c>
      <c r="I269" s="4" t="s">
        <v>88</v>
      </c>
      <c r="J269" s="4" t="s">
        <v>89</v>
      </c>
      <c r="K269" s="11">
        <v>0</v>
      </c>
      <c r="L269" s="4"/>
      <c r="M269" s="4"/>
      <c r="N269" s="11">
        <v>0</v>
      </c>
      <c r="O269" s="4"/>
      <c r="P269" s="4"/>
      <c r="Q269" s="11">
        <v>0</v>
      </c>
      <c r="R269" s="4"/>
      <c r="S269" s="12"/>
    </row>
    <row r="270" spans="1:19" x14ac:dyDescent="0.25">
      <c r="A270" s="9" t="s">
        <v>256</v>
      </c>
      <c r="B270" s="9" t="s">
        <v>291</v>
      </c>
      <c r="C270" s="4">
        <v>201005430</v>
      </c>
      <c r="D270" s="4"/>
      <c r="E270" s="4" t="str">
        <f>"107952010"</f>
        <v>107952010</v>
      </c>
      <c r="F270" s="10">
        <v>40423</v>
      </c>
      <c r="G270" s="11">
        <v>10202.85</v>
      </c>
      <c r="H270" s="11">
        <v>10202.85</v>
      </c>
      <c r="I270" s="4" t="s">
        <v>142</v>
      </c>
      <c r="J270" s="4" t="s">
        <v>143</v>
      </c>
      <c r="K270" s="11">
        <v>0</v>
      </c>
      <c r="L270" s="4"/>
      <c r="M270" s="4"/>
      <c r="N270" s="11">
        <v>0</v>
      </c>
      <c r="O270" s="4"/>
      <c r="P270" s="4"/>
      <c r="Q270" s="11">
        <v>0</v>
      </c>
      <c r="R270" s="4"/>
      <c r="S270" s="12"/>
    </row>
    <row r="271" spans="1:19" x14ac:dyDescent="0.25">
      <c r="A271" s="9" t="s">
        <v>256</v>
      </c>
      <c r="B271" s="9" t="s">
        <v>291</v>
      </c>
      <c r="C271" s="4">
        <v>201005533</v>
      </c>
      <c r="D271" s="4"/>
      <c r="E271" s="4" t="str">
        <f>"115212010"</f>
        <v>115212010</v>
      </c>
      <c r="F271" s="10">
        <v>40450</v>
      </c>
      <c r="G271" s="11">
        <v>30222146</v>
      </c>
      <c r="H271" s="11">
        <v>30222146</v>
      </c>
      <c r="I271" s="4" t="s">
        <v>88</v>
      </c>
      <c r="J271" s="4" t="s">
        <v>89</v>
      </c>
      <c r="K271" s="11">
        <v>0</v>
      </c>
      <c r="L271" s="4"/>
      <c r="M271" s="4"/>
      <c r="N271" s="11">
        <v>0</v>
      </c>
      <c r="O271" s="4"/>
      <c r="P271" s="4"/>
      <c r="Q271" s="11">
        <v>0</v>
      </c>
      <c r="R271" s="4"/>
      <c r="S271" s="12"/>
    </row>
    <row r="272" spans="1:19" x14ac:dyDescent="0.25">
      <c r="A272" s="9" t="s">
        <v>256</v>
      </c>
      <c r="B272" s="9" t="s">
        <v>291</v>
      </c>
      <c r="C272" s="4">
        <v>201005714</v>
      </c>
      <c r="D272" s="4"/>
      <c r="E272" s="4" t="str">
        <f>"115332010"</f>
        <v>115332010</v>
      </c>
      <c r="F272" s="10">
        <v>40450</v>
      </c>
      <c r="G272" s="11">
        <v>29926347</v>
      </c>
      <c r="H272" s="11">
        <v>29926347</v>
      </c>
      <c r="I272" s="4" t="s">
        <v>88</v>
      </c>
      <c r="J272" s="4" t="s">
        <v>89</v>
      </c>
      <c r="K272" s="11">
        <v>0</v>
      </c>
      <c r="L272" s="4"/>
      <c r="M272" s="4"/>
      <c r="N272" s="11">
        <v>0</v>
      </c>
      <c r="O272" s="4"/>
      <c r="P272" s="4"/>
      <c r="Q272" s="11">
        <v>0</v>
      </c>
      <c r="R272" s="4"/>
      <c r="S272" s="12"/>
    </row>
    <row r="273" spans="1:19" x14ac:dyDescent="0.25">
      <c r="A273" s="9" t="s">
        <v>261</v>
      </c>
      <c r="B273" s="9" t="s">
        <v>291</v>
      </c>
      <c r="C273" s="4">
        <v>201000240</v>
      </c>
      <c r="D273" s="4"/>
      <c r="E273" s="4" t="str">
        <f>"005852010"</f>
        <v>005852010</v>
      </c>
      <c r="F273" s="10">
        <v>40109</v>
      </c>
      <c r="G273" s="11">
        <v>1535707.41</v>
      </c>
      <c r="H273" s="11">
        <v>1535707.41</v>
      </c>
      <c r="I273" s="4" t="s">
        <v>142</v>
      </c>
      <c r="J273" s="4" t="s">
        <v>143</v>
      </c>
      <c r="K273" s="11">
        <v>0</v>
      </c>
      <c r="L273" s="4"/>
      <c r="M273" s="4"/>
      <c r="N273" s="11">
        <v>0</v>
      </c>
      <c r="O273" s="4"/>
      <c r="P273" s="4"/>
      <c r="Q273" s="11">
        <v>0</v>
      </c>
      <c r="R273" s="4"/>
      <c r="S273" s="12"/>
    </row>
    <row r="274" spans="1:19" x14ac:dyDescent="0.25">
      <c r="A274" s="9" t="s">
        <v>261</v>
      </c>
      <c r="B274" s="9" t="s">
        <v>291</v>
      </c>
      <c r="C274" s="4">
        <v>201002922</v>
      </c>
      <c r="D274" s="4"/>
      <c r="E274" s="4" t="str">
        <f>"058072010"</f>
        <v>058072010</v>
      </c>
      <c r="F274" s="10">
        <v>40282</v>
      </c>
      <c r="G274" s="11">
        <v>834591.58</v>
      </c>
      <c r="H274" s="11">
        <v>834591.58</v>
      </c>
      <c r="I274" s="4" t="s">
        <v>142</v>
      </c>
      <c r="J274" s="4" t="s">
        <v>143</v>
      </c>
      <c r="K274" s="11">
        <v>0</v>
      </c>
      <c r="L274" s="4"/>
      <c r="M274" s="4"/>
      <c r="N274" s="11">
        <v>0</v>
      </c>
      <c r="O274" s="4"/>
      <c r="P274" s="4"/>
      <c r="Q274" s="11">
        <v>0</v>
      </c>
      <c r="R274" s="4"/>
      <c r="S274" s="12"/>
    </row>
    <row r="275" spans="1:19" x14ac:dyDescent="0.25">
      <c r="A275" s="9" t="s">
        <v>261</v>
      </c>
      <c r="B275" s="9" t="s">
        <v>291</v>
      </c>
      <c r="C275" s="4">
        <v>201003711</v>
      </c>
      <c r="D275" s="4"/>
      <c r="E275" s="4" t="str">
        <f>"075282010"</f>
        <v>075282010</v>
      </c>
      <c r="F275" s="10">
        <v>40332</v>
      </c>
      <c r="G275" s="11">
        <v>5181.55</v>
      </c>
      <c r="H275" s="11">
        <v>5181.55</v>
      </c>
      <c r="I275" s="4" t="s">
        <v>142</v>
      </c>
      <c r="J275" s="4" t="s">
        <v>143</v>
      </c>
      <c r="K275" s="11">
        <v>0</v>
      </c>
      <c r="L275" s="4"/>
      <c r="M275" s="4"/>
      <c r="N275" s="11">
        <v>0</v>
      </c>
      <c r="O275" s="4"/>
      <c r="P275" s="4"/>
      <c r="Q275" s="11">
        <v>0</v>
      </c>
      <c r="R275" s="4"/>
      <c r="S275" s="12"/>
    </row>
    <row r="276" spans="1:19" x14ac:dyDescent="0.25">
      <c r="A276" s="9" t="s">
        <v>262</v>
      </c>
      <c r="B276" s="9" t="s">
        <v>291</v>
      </c>
      <c r="C276" s="4">
        <v>201002921</v>
      </c>
      <c r="D276" s="4" t="s">
        <v>263</v>
      </c>
      <c r="E276" s="4" t="str">
        <f>"061542010"</f>
        <v>061542010</v>
      </c>
      <c r="F276" s="10">
        <v>40290</v>
      </c>
      <c r="G276" s="11">
        <v>430693.28</v>
      </c>
      <c r="H276" s="11">
        <v>430693.28</v>
      </c>
      <c r="I276" s="4" t="s">
        <v>142</v>
      </c>
      <c r="J276" s="4" t="s">
        <v>143</v>
      </c>
      <c r="K276" s="11">
        <v>0</v>
      </c>
      <c r="L276" s="4"/>
      <c r="M276" s="4"/>
      <c r="N276" s="11">
        <v>0</v>
      </c>
      <c r="O276" s="4"/>
      <c r="P276" s="4"/>
      <c r="Q276" s="11">
        <v>0</v>
      </c>
      <c r="R276" s="4"/>
      <c r="S276" s="12"/>
    </row>
    <row r="277" spans="1:19" x14ac:dyDescent="0.25">
      <c r="A277" s="9" t="s">
        <v>264</v>
      </c>
      <c r="B277" s="9" t="s">
        <v>291</v>
      </c>
      <c r="C277" s="4">
        <v>201002043</v>
      </c>
      <c r="D277" s="4"/>
      <c r="E277" s="4" t="str">
        <f>"041462010"</f>
        <v>041462010</v>
      </c>
      <c r="F277" s="10">
        <v>40239</v>
      </c>
      <c r="G277" s="11">
        <v>140650.25</v>
      </c>
      <c r="H277" s="11">
        <v>140650.25</v>
      </c>
      <c r="I277" s="4" t="s">
        <v>142</v>
      </c>
      <c r="J277" s="4" t="s">
        <v>143</v>
      </c>
      <c r="K277" s="11">
        <v>0</v>
      </c>
      <c r="L277" s="4"/>
      <c r="M277" s="4"/>
      <c r="N277" s="11">
        <v>0</v>
      </c>
      <c r="O277" s="4"/>
      <c r="P277" s="4"/>
      <c r="Q277" s="11">
        <v>0</v>
      </c>
      <c r="R277" s="4"/>
      <c r="S277" s="12"/>
    </row>
    <row r="278" spans="1:19" x14ac:dyDescent="0.25">
      <c r="A278" s="9" t="s">
        <v>264</v>
      </c>
      <c r="B278" s="9" t="s">
        <v>291</v>
      </c>
      <c r="C278" s="4">
        <v>201003143</v>
      </c>
      <c r="D278" s="4"/>
      <c r="E278" s="4" t="str">
        <f>"062662010"</f>
        <v>062662010</v>
      </c>
      <c r="F278" s="10">
        <v>40295</v>
      </c>
      <c r="G278" s="11">
        <v>11353.87</v>
      </c>
      <c r="H278" s="11">
        <v>11353.87</v>
      </c>
      <c r="I278" s="4" t="s">
        <v>142</v>
      </c>
      <c r="J278" s="4" t="s">
        <v>143</v>
      </c>
      <c r="K278" s="11">
        <v>0</v>
      </c>
      <c r="L278" s="4"/>
      <c r="M278" s="4"/>
      <c r="N278" s="11">
        <v>0</v>
      </c>
      <c r="O278" s="4"/>
      <c r="P278" s="4"/>
      <c r="Q278" s="11">
        <v>0</v>
      </c>
      <c r="R278" s="4"/>
      <c r="S278" s="12"/>
    </row>
    <row r="279" spans="1:19" x14ac:dyDescent="0.25">
      <c r="A279" s="9" t="s">
        <v>265</v>
      </c>
      <c r="B279" s="9" t="s">
        <v>291</v>
      </c>
      <c r="C279" s="4">
        <v>201000313</v>
      </c>
      <c r="D279" s="4" t="s">
        <v>266</v>
      </c>
      <c r="E279" s="4" t="str">
        <f>"006012010"</f>
        <v>006012010</v>
      </c>
      <c r="F279" s="10">
        <v>40112</v>
      </c>
      <c r="G279" s="11">
        <v>500000</v>
      </c>
      <c r="H279" s="11">
        <v>500000</v>
      </c>
      <c r="I279" s="4" t="s">
        <v>72</v>
      </c>
      <c r="J279" s="4" t="s">
        <v>73</v>
      </c>
      <c r="K279" s="11">
        <v>0</v>
      </c>
      <c r="L279" s="4"/>
      <c r="M279" s="4"/>
      <c r="N279" s="11">
        <v>0</v>
      </c>
      <c r="O279" s="4"/>
      <c r="P279" s="4"/>
      <c r="Q279" s="11">
        <v>0</v>
      </c>
      <c r="R279" s="4"/>
      <c r="S279" s="12"/>
    </row>
    <row r="280" spans="1:19" x14ac:dyDescent="0.25">
      <c r="A280" s="9" t="s">
        <v>265</v>
      </c>
      <c r="B280" s="9" t="s">
        <v>291</v>
      </c>
      <c r="C280" s="4">
        <v>201000323</v>
      </c>
      <c r="D280" s="4"/>
      <c r="E280" s="4" t="str">
        <f>"005892010"</f>
        <v>005892010</v>
      </c>
      <c r="F280" s="10">
        <v>40112</v>
      </c>
      <c r="G280" s="11">
        <v>65000</v>
      </c>
      <c r="H280" s="11">
        <v>65000</v>
      </c>
      <c r="I280" s="4" t="s">
        <v>30</v>
      </c>
      <c r="J280" s="4" t="s">
        <v>31</v>
      </c>
      <c r="K280" s="11">
        <v>0</v>
      </c>
      <c r="L280" s="4"/>
      <c r="M280" s="4"/>
      <c r="N280" s="11">
        <v>0</v>
      </c>
      <c r="O280" s="4"/>
      <c r="P280" s="4"/>
      <c r="Q280" s="11">
        <v>0</v>
      </c>
      <c r="R280" s="4"/>
      <c r="S280" s="12"/>
    </row>
    <row r="281" spans="1:19" x14ac:dyDescent="0.25">
      <c r="A281" s="9" t="s">
        <v>265</v>
      </c>
      <c r="B281" s="9" t="s">
        <v>291</v>
      </c>
      <c r="C281" s="4">
        <v>201000500</v>
      </c>
      <c r="D281" s="4"/>
      <c r="E281" s="4" t="str">
        <f>"010372010"</f>
        <v>010372010</v>
      </c>
      <c r="F281" s="10">
        <v>40126</v>
      </c>
      <c r="G281" s="11">
        <v>377904</v>
      </c>
      <c r="H281" s="11">
        <v>0</v>
      </c>
      <c r="I281" s="4"/>
      <c r="J281" s="4"/>
      <c r="K281" s="11">
        <v>0</v>
      </c>
      <c r="L281" s="4"/>
      <c r="M281" s="4"/>
      <c r="N281" s="11">
        <v>377904</v>
      </c>
      <c r="O281" s="4" t="s">
        <v>56</v>
      </c>
      <c r="P281" s="4" t="s">
        <v>57</v>
      </c>
      <c r="Q281" s="11">
        <v>0</v>
      </c>
      <c r="R281" s="4"/>
      <c r="S281" s="12"/>
    </row>
    <row r="282" spans="1:19" x14ac:dyDescent="0.25">
      <c r="A282" s="9" t="s">
        <v>265</v>
      </c>
      <c r="B282" s="9" t="s">
        <v>291</v>
      </c>
      <c r="C282" s="4">
        <v>201001456</v>
      </c>
      <c r="D282" s="4" t="s">
        <v>267</v>
      </c>
      <c r="E282" s="4" t="str">
        <f>"028642010"</f>
        <v>028642010</v>
      </c>
      <c r="F282" s="10">
        <v>40186</v>
      </c>
      <c r="G282" s="11">
        <v>85000</v>
      </c>
      <c r="H282" s="11">
        <v>85000</v>
      </c>
      <c r="I282" s="4" t="s">
        <v>72</v>
      </c>
      <c r="J282" s="4" t="s">
        <v>73</v>
      </c>
      <c r="K282" s="11">
        <v>0</v>
      </c>
      <c r="L282" s="4"/>
      <c r="M282" s="4"/>
      <c r="N282" s="11">
        <v>0</v>
      </c>
      <c r="O282" s="4"/>
      <c r="P282" s="4"/>
      <c r="Q282" s="11">
        <v>0</v>
      </c>
      <c r="R282" s="4"/>
      <c r="S282" s="12"/>
    </row>
    <row r="283" spans="1:19" x14ac:dyDescent="0.25">
      <c r="A283" s="9" t="s">
        <v>265</v>
      </c>
      <c r="B283" s="9" t="s">
        <v>291</v>
      </c>
      <c r="C283" s="4">
        <v>201001669</v>
      </c>
      <c r="D283" s="4" t="s">
        <v>268</v>
      </c>
      <c r="E283" s="4" t="str">
        <f>"032642010"</f>
        <v>032642010</v>
      </c>
      <c r="F283" s="10">
        <v>40205</v>
      </c>
      <c r="G283" s="11">
        <v>175000</v>
      </c>
      <c r="H283" s="11">
        <v>175000</v>
      </c>
      <c r="I283" s="4" t="s">
        <v>72</v>
      </c>
      <c r="J283" s="4" t="s">
        <v>73</v>
      </c>
      <c r="K283" s="11">
        <v>0</v>
      </c>
      <c r="L283" s="4"/>
      <c r="M283" s="4"/>
      <c r="N283" s="11">
        <v>0</v>
      </c>
      <c r="O283" s="4"/>
      <c r="P283" s="4"/>
      <c r="Q283" s="11">
        <v>0</v>
      </c>
      <c r="R283" s="4"/>
      <c r="S283" s="12"/>
    </row>
    <row r="284" spans="1:19" x14ac:dyDescent="0.25">
      <c r="A284" s="9" t="s">
        <v>265</v>
      </c>
      <c r="B284" s="9" t="s">
        <v>291</v>
      </c>
      <c r="C284" s="4">
        <v>201002318</v>
      </c>
      <c r="D284" s="4"/>
      <c r="E284" s="4" t="str">
        <f>"048522010"</f>
        <v>048522010</v>
      </c>
      <c r="F284" s="10">
        <v>40255</v>
      </c>
      <c r="G284" s="11">
        <v>43469.69</v>
      </c>
      <c r="H284" s="11">
        <v>0</v>
      </c>
      <c r="I284" s="4" t="s">
        <v>269</v>
      </c>
      <c r="J284" s="4" t="s">
        <v>270</v>
      </c>
      <c r="K284" s="11">
        <v>42431.76</v>
      </c>
      <c r="L284" s="4" t="s">
        <v>269</v>
      </c>
      <c r="M284" s="4" t="s">
        <v>270</v>
      </c>
      <c r="N284" s="11">
        <v>1037.93</v>
      </c>
      <c r="O284" s="4" t="s">
        <v>269</v>
      </c>
      <c r="P284" s="4" t="s">
        <v>270</v>
      </c>
      <c r="Q284" s="11">
        <v>0</v>
      </c>
      <c r="R284" s="4"/>
      <c r="S284" s="12"/>
    </row>
    <row r="285" spans="1:19" x14ac:dyDescent="0.25">
      <c r="A285" s="9" t="s">
        <v>265</v>
      </c>
      <c r="B285" s="9" t="s">
        <v>291</v>
      </c>
      <c r="C285" s="4">
        <v>201003011</v>
      </c>
      <c r="D285" s="4"/>
      <c r="E285" s="4" t="str">
        <f>"060782010"</f>
        <v>060782010</v>
      </c>
      <c r="F285" s="10">
        <v>40290</v>
      </c>
      <c r="G285" s="11">
        <v>4132686.27</v>
      </c>
      <c r="H285" s="11">
        <v>2986204</v>
      </c>
      <c r="I285" s="4" t="s">
        <v>98</v>
      </c>
      <c r="J285" s="4" t="s">
        <v>99</v>
      </c>
      <c r="K285" s="11">
        <v>0</v>
      </c>
      <c r="L285" s="4"/>
      <c r="M285" s="4"/>
      <c r="N285" s="11">
        <v>0</v>
      </c>
      <c r="O285" s="4"/>
      <c r="P285" s="4"/>
      <c r="Q285" s="11">
        <v>1146482.27</v>
      </c>
      <c r="R285" s="4" t="s">
        <v>98</v>
      </c>
      <c r="S285" s="12" t="s">
        <v>99</v>
      </c>
    </row>
    <row r="286" spans="1:19" x14ac:dyDescent="0.25">
      <c r="A286" s="9" t="s">
        <v>265</v>
      </c>
      <c r="B286" s="9" t="s">
        <v>291</v>
      </c>
      <c r="C286" s="4">
        <v>201003013</v>
      </c>
      <c r="D286" s="4" t="s">
        <v>271</v>
      </c>
      <c r="E286" s="4" t="str">
        <f>"059312010"</f>
        <v>059312010</v>
      </c>
      <c r="F286" s="10">
        <v>40284</v>
      </c>
      <c r="G286" s="11">
        <v>10000</v>
      </c>
      <c r="H286" s="11">
        <v>10000</v>
      </c>
      <c r="I286" s="4" t="s">
        <v>30</v>
      </c>
      <c r="J286" s="4" t="s">
        <v>31</v>
      </c>
      <c r="K286" s="11">
        <v>0</v>
      </c>
      <c r="L286" s="4"/>
      <c r="M286" s="4"/>
      <c r="N286" s="11">
        <v>0</v>
      </c>
      <c r="O286" s="4"/>
      <c r="P286" s="4"/>
      <c r="Q286" s="11">
        <v>0</v>
      </c>
      <c r="R286" s="4"/>
      <c r="S286" s="12"/>
    </row>
    <row r="287" spans="1:19" x14ac:dyDescent="0.25">
      <c r="A287" s="9" t="s">
        <v>265</v>
      </c>
      <c r="B287" s="9" t="s">
        <v>291</v>
      </c>
      <c r="C287" s="4">
        <v>201004330</v>
      </c>
      <c r="D287" s="4" t="s">
        <v>2534</v>
      </c>
      <c r="E287" s="4" t="str">
        <f>"087982010"</f>
        <v>087982010</v>
      </c>
      <c r="F287" s="10">
        <v>40360</v>
      </c>
      <c r="G287" s="11">
        <v>25742.85</v>
      </c>
      <c r="H287" s="11">
        <v>0</v>
      </c>
      <c r="I287" s="4"/>
      <c r="J287" s="4"/>
      <c r="K287" s="11">
        <v>22110</v>
      </c>
      <c r="L287" s="4" t="s">
        <v>30</v>
      </c>
      <c r="M287" s="4" t="s">
        <v>31</v>
      </c>
      <c r="N287" s="11">
        <v>3632.85</v>
      </c>
      <c r="O287" s="4" t="s">
        <v>30</v>
      </c>
      <c r="P287" s="4" t="s">
        <v>31</v>
      </c>
      <c r="Q287" s="11">
        <v>0</v>
      </c>
      <c r="R287" s="4"/>
      <c r="S287" s="12"/>
    </row>
    <row r="288" spans="1:19" x14ac:dyDescent="0.25">
      <c r="A288" s="9" t="s">
        <v>272</v>
      </c>
      <c r="B288" s="9" t="s">
        <v>291</v>
      </c>
      <c r="C288" s="4">
        <v>201000991</v>
      </c>
      <c r="D288" s="4" t="s">
        <v>273</v>
      </c>
      <c r="E288" s="4" t="str">
        <f>"018912010"</f>
        <v>018912010</v>
      </c>
      <c r="F288" s="10">
        <v>40155</v>
      </c>
      <c r="G288" s="11">
        <v>175000</v>
      </c>
      <c r="H288" s="11">
        <v>175000</v>
      </c>
      <c r="I288" s="4" t="s">
        <v>72</v>
      </c>
      <c r="J288" s="4" t="s">
        <v>73</v>
      </c>
      <c r="K288" s="11">
        <v>0</v>
      </c>
      <c r="L288" s="4"/>
      <c r="M288" s="4"/>
      <c r="N288" s="11">
        <v>0</v>
      </c>
      <c r="O288" s="4"/>
      <c r="P288" s="4"/>
      <c r="Q288" s="11">
        <v>0</v>
      </c>
      <c r="R288" s="4"/>
      <c r="S288" s="12"/>
    </row>
    <row r="289" spans="1:19" x14ac:dyDescent="0.25">
      <c r="A289" s="9" t="s">
        <v>272</v>
      </c>
      <c r="B289" s="9" t="s">
        <v>291</v>
      </c>
      <c r="C289" s="4">
        <v>201001050</v>
      </c>
      <c r="D289" s="4" t="s">
        <v>274</v>
      </c>
      <c r="E289" s="4" t="str">
        <f>"021952010"</f>
        <v>021952010</v>
      </c>
      <c r="F289" s="10">
        <v>40161</v>
      </c>
      <c r="G289" s="11">
        <v>17500</v>
      </c>
      <c r="H289" s="11">
        <v>17500</v>
      </c>
      <c r="I289" s="4" t="s">
        <v>72</v>
      </c>
      <c r="J289" s="4" t="s">
        <v>73</v>
      </c>
      <c r="K289" s="11">
        <v>0</v>
      </c>
      <c r="L289" s="4"/>
      <c r="M289" s="4"/>
      <c r="N289" s="11">
        <v>0</v>
      </c>
      <c r="O289" s="4"/>
      <c r="P289" s="4"/>
      <c r="Q289" s="11">
        <v>0</v>
      </c>
      <c r="R289" s="4"/>
      <c r="S289" s="12"/>
    </row>
    <row r="290" spans="1:19" x14ac:dyDescent="0.25">
      <c r="A290" s="9" t="s">
        <v>272</v>
      </c>
      <c r="B290" s="9" t="s">
        <v>291</v>
      </c>
      <c r="C290" s="4">
        <v>201002106</v>
      </c>
      <c r="D290" s="4" t="s">
        <v>275</v>
      </c>
      <c r="E290" s="4" t="str">
        <f>"040962010"</f>
        <v>040962010</v>
      </c>
      <c r="F290" s="10">
        <v>40234</v>
      </c>
      <c r="G290" s="11">
        <v>300000</v>
      </c>
      <c r="H290" s="11">
        <v>300000</v>
      </c>
      <c r="I290" s="4" t="s">
        <v>72</v>
      </c>
      <c r="J290" s="4" t="s">
        <v>73</v>
      </c>
      <c r="K290" s="11">
        <v>0</v>
      </c>
      <c r="L290" s="4"/>
      <c r="M290" s="4"/>
      <c r="N290" s="11">
        <v>0</v>
      </c>
      <c r="O290" s="4"/>
      <c r="P290" s="4"/>
      <c r="Q290" s="11">
        <v>0</v>
      </c>
      <c r="R290" s="4"/>
      <c r="S290" s="12"/>
    </row>
    <row r="291" spans="1:19" x14ac:dyDescent="0.25">
      <c r="A291" s="9" t="s">
        <v>272</v>
      </c>
      <c r="B291" s="9" t="s">
        <v>291</v>
      </c>
      <c r="C291" s="4">
        <v>201002455</v>
      </c>
      <c r="D291" s="4" t="s">
        <v>276</v>
      </c>
      <c r="E291" s="4" t="str">
        <f>"049162010"</f>
        <v>049162010</v>
      </c>
      <c r="F291" s="10">
        <v>40262</v>
      </c>
      <c r="G291" s="11">
        <v>50000</v>
      </c>
      <c r="H291" s="11">
        <v>50000</v>
      </c>
      <c r="I291" s="4" t="s">
        <v>23</v>
      </c>
      <c r="J291" s="4" t="s">
        <v>24</v>
      </c>
      <c r="K291" s="11">
        <v>0</v>
      </c>
      <c r="L291" s="4"/>
      <c r="M291" s="4"/>
      <c r="N291" s="11">
        <v>0</v>
      </c>
      <c r="O291" s="4"/>
      <c r="P291" s="4"/>
      <c r="Q291" s="11">
        <v>0</v>
      </c>
      <c r="R291" s="4"/>
      <c r="S291" s="12"/>
    </row>
    <row r="292" spans="1:19" x14ac:dyDescent="0.25">
      <c r="A292" s="9" t="s">
        <v>277</v>
      </c>
      <c r="B292" s="9" t="s">
        <v>291</v>
      </c>
      <c r="C292" s="4">
        <v>201000829</v>
      </c>
      <c r="D292" s="4" t="s">
        <v>278</v>
      </c>
      <c r="E292" s="4" t="str">
        <f>"015842010"</f>
        <v>015842010</v>
      </c>
      <c r="F292" s="10">
        <v>40142</v>
      </c>
      <c r="G292" s="11">
        <v>259000</v>
      </c>
      <c r="H292" s="11">
        <v>0</v>
      </c>
      <c r="I292" s="4"/>
      <c r="J292" s="4"/>
      <c r="K292" s="11">
        <v>259000</v>
      </c>
      <c r="L292" s="4" t="s">
        <v>279</v>
      </c>
      <c r="M292" s="4" t="s">
        <v>280</v>
      </c>
      <c r="N292" s="11">
        <v>0</v>
      </c>
      <c r="O292" s="4"/>
      <c r="P292" s="4"/>
      <c r="Q292" s="11">
        <v>0</v>
      </c>
      <c r="R292" s="4"/>
      <c r="S292" s="12"/>
    </row>
    <row r="293" spans="1:19" x14ac:dyDescent="0.25">
      <c r="A293" s="9" t="s">
        <v>277</v>
      </c>
      <c r="B293" s="9" t="s">
        <v>291</v>
      </c>
      <c r="C293" s="4">
        <v>201001310</v>
      </c>
      <c r="D293" s="4" t="s">
        <v>281</v>
      </c>
      <c r="E293" s="4" t="str">
        <f>"037432010"</f>
        <v>037432010</v>
      </c>
      <c r="F293" s="10">
        <v>40214</v>
      </c>
      <c r="G293" s="11">
        <v>200000</v>
      </c>
      <c r="H293" s="11">
        <v>200000</v>
      </c>
      <c r="I293" s="4" t="s">
        <v>88</v>
      </c>
      <c r="J293" s="4" t="s">
        <v>89</v>
      </c>
      <c r="K293" s="11">
        <v>0</v>
      </c>
      <c r="L293" s="4"/>
      <c r="M293" s="4"/>
      <c r="N293" s="11">
        <v>0</v>
      </c>
      <c r="O293" s="4"/>
      <c r="P293" s="4"/>
      <c r="Q293" s="11">
        <v>0</v>
      </c>
      <c r="R293" s="4"/>
      <c r="S293" s="12"/>
    </row>
    <row r="294" spans="1:19" x14ac:dyDescent="0.25">
      <c r="A294" s="9" t="s">
        <v>277</v>
      </c>
      <c r="B294" s="9" t="s">
        <v>291</v>
      </c>
      <c r="C294" s="4">
        <v>201002319</v>
      </c>
      <c r="D294" s="4" t="s">
        <v>282</v>
      </c>
      <c r="E294" s="4" t="str">
        <f>"047362010"</f>
        <v>047362010</v>
      </c>
      <c r="F294" s="10">
        <v>40253</v>
      </c>
      <c r="G294" s="11">
        <v>394000</v>
      </c>
      <c r="H294" s="11">
        <v>394000</v>
      </c>
      <c r="I294" s="4" t="s">
        <v>283</v>
      </c>
      <c r="J294" s="4" t="s">
        <v>284</v>
      </c>
      <c r="K294" s="11">
        <v>0</v>
      </c>
      <c r="L294" s="4"/>
      <c r="M294" s="4"/>
      <c r="N294" s="11">
        <v>0</v>
      </c>
      <c r="O294" s="4"/>
      <c r="P294" s="4"/>
      <c r="Q294" s="11">
        <v>0</v>
      </c>
      <c r="R294" s="4"/>
      <c r="S294" s="12"/>
    </row>
    <row r="295" spans="1:19" x14ac:dyDescent="0.25">
      <c r="A295" s="9" t="s">
        <v>277</v>
      </c>
      <c r="B295" s="9" t="s">
        <v>291</v>
      </c>
      <c r="C295" s="4">
        <v>201002713</v>
      </c>
      <c r="D295" s="4" t="s">
        <v>285</v>
      </c>
      <c r="E295" s="4" t="str">
        <f>"054502010"</f>
        <v>054502010</v>
      </c>
      <c r="F295" s="10">
        <v>40274</v>
      </c>
      <c r="G295" s="11">
        <v>270000</v>
      </c>
      <c r="H295" s="11">
        <v>270000</v>
      </c>
      <c r="I295" s="4" t="s">
        <v>286</v>
      </c>
      <c r="J295" s="4" t="s">
        <v>287</v>
      </c>
      <c r="K295" s="11">
        <v>0</v>
      </c>
      <c r="L295" s="4"/>
      <c r="M295" s="4"/>
      <c r="N295" s="11">
        <v>0</v>
      </c>
      <c r="O295" s="4"/>
      <c r="P295" s="4"/>
      <c r="Q295" s="11">
        <v>0</v>
      </c>
      <c r="R295" s="4"/>
      <c r="S295" s="12"/>
    </row>
    <row r="296" spans="1:19" x14ac:dyDescent="0.25">
      <c r="A296" s="9" t="s">
        <v>277</v>
      </c>
      <c r="B296" s="9" t="s">
        <v>291</v>
      </c>
      <c r="C296" s="4">
        <v>201002713</v>
      </c>
      <c r="D296" s="4" t="s">
        <v>285</v>
      </c>
      <c r="E296" s="4" t="str">
        <f>"054522010"</f>
        <v>054522010</v>
      </c>
      <c r="F296" s="10">
        <v>40274</v>
      </c>
      <c r="G296" s="11">
        <v>30000</v>
      </c>
      <c r="H296" s="11">
        <v>30000</v>
      </c>
      <c r="I296" s="4" t="s">
        <v>286</v>
      </c>
      <c r="J296" s="4" t="s">
        <v>287</v>
      </c>
      <c r="K296" s="11">
        <v>0</v>
      </c>
      <c r="L296" s="4"/>
      <c r="M296" s="4"/>
      <c r="N296" s="11">
        <v>0</v>
      </c>
      <c r="O296" s="4"/>
      <c r="P296" s="4"/>
      <c r="Q296" s="11">
        <v>0</v>
      </c>
      <c r="R296" s="4"/>
      <c r="S296" s="12"/>
    </row>
    <row r="297" spans="1:19" x14ac:dyDescent="0.25">
      <c r="A297" s="9" t="s">
        <v>277</v>
      </c>
      <c r="B297" s="9" t="s">
        <v>291</v>
      </c>
      <c r="C297" s="4">
        <v>201003657</v>
      </c>
      <c r="D297" s="4" t="s">
        <v>288</v>
      </c>
      <c r="E297" s="4" t="str">
        <f>"095042010"</f>
        <v>095042010</v>
      </c>
      <c r="F297" s="10">
        <v>40381</v>
      </c>
      <c r="G297" s="11">
        <v>2139308</v>
      </c>
      <c r="H297" s="11">
        <v>2139308</v>
      </c>
      <c r="I297" s="4" t="s">
        <v>88</v>
      </c>
      <c r="J297" s="4" t="s">
        <v>89</v>
      </c>
      <c r="K297" s="11">
        <v>0</v>
      </c>
      <c r="L297" s="4"/>
      <c r="M297" s="4"/>
      <c r="N297" s="11">
        <v>0</v>
      </c>
      <c r="O297" s="4"/>
      <c r="P297" s="4"/>
      <c r="Q297" s="11">
        <v>0</v>
      </c>
      <c r="R297" s="4"/>
      <c r="S297" s="12"/>
    </row>
    <row r="298" spans="1:19" x14ac:dyDescent="0.25">
      <c r="A298" s="9" t="s">
        <v>289</v>
      </c>
      <c r="B298" s="9" t="s">
        <v>291</v>
      </c>
      <c r="C298" s="4">
        <v>201002558</v>
      </c>
      <c r="D298" s="4" t="s">
        <v>290</v>
      </c>
      <c r="E298" s="4" t="str">
        <f>"050762010"</f>
        <v>050762010</v>
      </c>
      <c r="F298" s="10">
        <v>40262</v>
      </c>
      <c r="G298" s="11">
        <v>48000</v>
      </c>
      <c r="H298" s="11">
        <v>48000</v>
      </c>
      <c r="I298" s="4" t="s">
        <v>68</v>
      </c>
      <c r="J298" s="4" t="s">
        <v>69</v>
      </c>
      <c r="K298" s="11">
        <v>0</v>
      </c>
      <c r="L298" s="4"/>
      <c r="M298" s="4"/>
      <c r="N298" s="11">
        <v>0</v>
      </c>
      <c r="O298" s="4"/>
      <c r="P298" s="4"/>
      <c r="Q298" s="11">
        <v>0</v>
      </c>
      <c r="R298" s="4"/>
      <c r="S298" s="12"/>
    </row>
    <row r="299" spans="1:19" x14ac:dyDescent="0.25">
      <c r="A299" s="9" t="s">
        <v>291</v>
      </c>
      <c r="B299" s="9" t="s">
        <v>291</v>
      </c>
      <c r="C299" s="4">
        <v>201000779</v>
      </c>
      <c r="D299" s="4"/>
      <c r="E299" s="4" t="str">
        <f>"016002010"</f>
        <v>016002010</v>
      </c>
      <c r="F299" s="10">
        <v>40149</v>
      </c>
      <c r="G299" s="11">
        <v>48000</v>
      </c>
      <c r="H299" s="11">
        <v>48000</v>
      </c>
      <c r="I299" s="4" t="s">
        <v>155</v>
      </c>
      <c r="J299" s="4" t="s">
        <v>156</v>
      </c>
      <c r="K299" s="11">
        <v>0</v>
      </c>
      <c r="L299" s="4"/>
      <c r="M299" s="4"/>
      <c r="N299" s="11">
        <v>0</v>
      </c>
      <c r="O299" s="4"/>
      <c r="P299" s="4"/>
      <c r="Q299" s="11">
        <v>0</v>
      </c>
      <c r="R299" s="4"/>
      <c r="S299" s="12"/>
    </row>
    <row r="300" spans="1:19" x14ac:dyDescent="0.25">
      <c r="A300" s="9" t="s">
        <v>291</v>
      </c>
      <c r="B300" s="9" t="s">
        <v>291</v>
      </c>
      <c r="C300" s="4">
        <v>201000820</v>
      </c>
      <c r="D300" s="4" t="s">
        <v>292</v>
      </c>
      <c r="E300" s="4" t="str">
        <f>"016352010"</f>
        <v>016352010</v>
      </c>
      <c r="F300" s="10">
        <v>40149</v>
      </c>
      <c r="G300" s="11">
        <v>300</v>
      </c>
      <c r="H300" s="11">
        <v>0</v>
      </c>
      <c r="I300" s="4"/>
      <c r="J300" s="4"/>
      <c r="K300" s="11">
        <v>0</v>
      </c>
      <c r="L300" s="4"/>
      <c r="M300" s="4"/>
      <c r="N300" s="11">
        <v>300</v>
      </c>
      <c r="O300" s="4" t="s">
        <v>293</v>
      </c>
      <c r="P300" s="4" t="s">
        <v>294</v>
      </c>
      <c r="Q300" s="11">
        <v>0</v>
      </c>
      <c r="R300" s="4"/>
      <c r="S300" s="12"/>
    </row>
    <row r="301" spans="1:19" x14ac:dyDescent="0.25">
      <c r="A301" s="9" t="s">
        <v>291</v>
      </c>
      <c r="B301" s="9" t="s">
        <v>291</v>
      </c>
      <c r="C301" s="4">
        <v>201000931</v>
      </c>
      <c r="D301" s="4" t="s">
        <v>295</v>
      </c>
      <c r="E301" s="4" t="str">
        <f>"017862010"</f>
        <v>017862010</v>
      </c>
      <c r="F301" s="10">
        <v>40150</v>
      </c>
      <c r="G301" s="11">
        <v>49000</v>
      </c>
      <c r="H301" s="11">
        <v>49000</v>
      </c>
      <c r="I301" s="4" t="s">
        <v>23</v>
      </c>
      <c r="J301" s="4" t="s">
        <v>24</v>
      </c>
      <c r="K301" s="11">
        <v>0</v>
      </c>
      <c r="L301" s="4"/>
      <c r="M301" s="4"/>
      <c r="N301" s="11">
        <v>0</v>
      </c>
      <c r="O301" s="4"/>
      <c r="P301" s="4"/>
      <c r="Q301" s="11">
        <v>0</v>
      </c>
      <c r="R301" s="4"/>
      <c r="S301" s="12"/>
    </row>
    <row r="302" spans="1:19" x14ac:dyDescent="0.25">
      <c r="A302" s="9" t="s">
        <v>291</v>
      </c>
      <c r="B302" s="9" t="s">
        <v>291</v>
      </c>
      <c r="C302" s="4">
        <v>201000940</v>
      </c>
      <c r="D302" s="4" t="s">
        <v>296</v>
      </c>
      <c r="E302" s="4" t="str">
        <f>"018022010"</f>
        <v>018022010</v>
      </c>
      <c r="F302" s="10">
        <v>40151</v>
      </c>
      <c r="G302" s="11">
        <v>6000</v>
      </c>
      <c r="H302" s="11">
        <v>6000</v>
      </c>
      <c r="I302" s="4" t="s">
        <v>23</v>
      </c>
      <c r="J302" s="4" t="s">
        <v>24</v>
      </c>
      <c r="K302" s="11">
        <v>0</v>
      </c>
      <c r="L302" s="4"/>
      <c r="M302" s="4"/>
      <c r="N302" s="11">
        <v>0</v>
      </c>
      <c r="O302" s="4"/>
      <c r="P302" s="4"/>
      <c r="Q302" s="11">
        <v>0</v>
      </c>
      <c r="R302" s="4"/>
      <c r="S302" s="12"/>
    </row>
    <row r="303" spans="1:19" x14ac:dyDescent="0.25">
      <c r="A303" s="9" t="s">
        <v>291</v>
      </c>
      <c r="B303" s="9" t="s">
        <v>291</v>
      </c>
      <c r="C303" s="4">
        <v>201001010</v>
      </c>
      <c r="D303" s="4" t="s">
        <v>297</v>
      </c>
      <c r="E303" s="4" t="str">
        <f>"021632010"</f>
        <v>021632010</v>
      </c>
      <c r="F303" s="10">
        <v>40161</v>
      </c>
      <c r="G303" s="11">
        <v>37440.720000000001</v>
      </c>
      <c r="H303" s="11">
        <v>37440.720000000001</v>
      </c>
      <c r="I303" s="4" t="s">
        <v>54</v>
      </c>
      <c r="J303" s="4" t="s">
        <v>55</v>
      </c>
      <c r="K303" s="11">
        <v>0</v>
      </c>
      <c r="L303" s="4"/>
      <c r="M303" s="4"/>
      <c r="N303" s="11">
        <v>0</v>
      </c>
      <c r="O303" s="4"/>
      <c r="P303" s="4"/>
      <c r="Q303" s="11">
        <v>0</v>
      </c>
      <c r="R303" s="4"/>
      <c r="S303" s="12"/>
    </row>
    <row r="304" spans="1:19" x14ac:dyDescent="0.25">
      <c r="A304" s="9" t="s">
        <v>291</v>
      </c>
      <c r="B304" s="9" t="s">
        <v>291</v>
      </c>
      <c r="C304" s="4">
        <v>201001183</v>
      </c>
      <c r="D304" s="4" t="s">
        <v>2534</v>
      </c>
      <c r="E304" s="4" t="str">
        <f>"023052010"</f>
        <v>023052010</v>
      </c>
      <c r="F304" s="10">
        <v>40165</v>
      </c>
      <c r="G304" s="11">
        <v>5426.54</v>
      </c>
      <c r="H304" s="11">
        <v>0</v>
      </c>
      <c r="I304" s="4"/>
      <c r="J304" s="4"/>
      <c r="K304" s="11">
        <v>5100</v>
      </c>
      <c r="L304" s="4" t="s">
        <v>167</v>
      </c>
      <c r="M304" s="4" t="s">
        <v>168</v>
      </c>
      <c r="N304" s="11">
        <v>326.54000000000002</v>
      </c>
      <c r="O304" s="4" t="s">
        <v>56</v>
      </c>
      <c r="P304" s="4" t="s">
        <v>57</v>
      </c>
      <c r="Q304" s="11">
        <v>0</v>
      </c>
      <c r="R304" s="4"/>
      <c r="S304" s="12"/>
    </row>
    <row r="305" spans="1:19" x14ac:dyDescent="0.25">
      <c r="A305" s="9" t="s">
        <v>291</v>
      </c>
      <c r="B305" s="9" t="s">
        <v>291</v>
      </c>
      <c r="C305" s="4">
        <v>201001299</v>
      </c>
      <c r="D305" s="4" t="s">
        <v>298</v>
      </c>
      <c r="E305" s="4" t="str">
        <f>"027132010"</f>
        <v>027132010</v>
      </c>
      <c r="F305" s="10">
        <v>40185</v>
      </c>
      <c r="G305" s="11">
        <v>1664.4</v>
      </c>
      <c r="H305" s="11">
        <v>1664.4</v>
      </c>
      <c r="I305" s="4" t="s">
        <v>56</v>
      </c>
      <c r="J305" s="4" t="s">
        <v>57</v>
      </c>
      <c r="K305" s="11">
        <v>0</v>
      </c>
      <c r="L305" s="4"/>
      <c r="M305" s="4"/>
      <c r="N305" s="11">
        <v>0</v>
      </c>
      <c r="O305" s="4"/>
      <c r="P305" s="4"/>
      <c r="Q305" s="11">
        <v>0</v>
      </c>
      <c r="R305" s="4"/>
      <c r="S305" s="12"/>
    </row>
    <row r="306" spans="1:19" x14ac:dyDescent="0.25">
      <c r="A306" s="9" t="s">
        <v>291</v>
      </c>
      <c r="B306" s="9" t="s">
        <v>291</v>
      </c>
      <c r="C306" s="4">
        <v>201001551</v>
      </c>
      <c r="D306" s="4" t="s">
        <v>299</v>
      </c>
      <c r="E306" s="4" t="str">
        <f>"030492010"</f>
        <v>030492010</v>
      </c>
      <c r="F306" s="10">
        <v>40192</v>
      </c>
      <c r="G306" s="11">
        <v>80000</v>
      </c>
      <c r="H306" s="11">
        <v>80000</v>
      </c>
      <c r="I306" s="4" t="s">
        <v>30</v>
      </c>
      <c r="J306" s="4" t="s">
        <v>31</v>
      </c>
      <c r="K306" s="11">
        <v>0</v>
      </c>
      <c r="L306" s="4"/>
      <c r="M306" s="4"/>
      <c r="N306" s="11">
        <v>0</v>
      </c>
      <c r="O306" s="4"/>
      <c r="P306" s="4"/>
      <c r="Q306" s="11">
        <v>0</v>
      </c>
      <c r="R306" s="4"/>
      <c r="S306" s="12"/>
    </row>
    <row r="307" spans="1:19" x14ac:dyDescent="0.25">
      <c r="A307" s="9" t="s">
        <v>291</v>
      </c>
      <c r="B307" s="9" t="s">
        <v>291</v>
      </c>
      <c r="C307" s="4">
        <v>201001718</v>
      </c>
      <c r="D307" s="4"/>
      <c r="E307" s="4" t="str">
        <f>"033942010"</f>
        <v>033942010</v>
      </c>
      <c r="F307" s="10">
        <v>40204</v>
      </c>
      <c r="G307" s="11">
        <v>23591</v>
      </c>
      <c r="H307" s="11">
        <v>0</v>
      </c>
      <c r="I307" s="4"/>
      <c r="J307" s="4"/>
      <c r="K307" s="11">
        <v>23591</v>
      </c>
      <c r="L307" s="4" t="s">
        <v>293</v>
      </c>
      <c r="M307" s="4" t="s">
        <v>294</v>
      </c>
      <c r="N307" s="11">
        <v>0</v>
      </c>
      <c r="O307" s="4"/>
      <c r="P307" s="4"/>
      <c r="Q307" s="11">
        <v>0</v>
      </c>
      <c r="R307" s="4"/>
      <c r="S307" s="12"/>
    </row>
    <row r="308" spans="1:19" x14ac:dyDescent="0.25">
      <c r="A308" s="9" t="s">
        <v>291</v>
      </c>
      <c r="B308" s="9" t="s">
        <v>291</v>
      </c>
      <c r="C308" s="4">
        <v>201001757</v>
      </c>
      <c r="D308" s="4"/>
      <c r="E308" s="4" t="str">
        <f>"059662010"</f>
        <v>059662010</v>
      </c>
      <c r="F308" s="10">
        <v>40288</v>
      </c>
      <c r="G308" s="11">
        <v>200000</v>
      </c>
      <c r="H308" s="11">
        <v>200000</v>
      </c>
      <c r="I308" s="4" t="s">
        <v>30</v>
      </c>
      <c r="J308" s="4" t="s">
        <v>31</v>
      </c>
      <c r="K308" s="11">
        <v>0</v>
      </c>
      <c r="L308" s="4"/>
      <c r="M308" s="4"/>
      <c r="N308" s="11">
        <v>0</v>
      </c>
      <c r="O308" s="4"/>
      <c r="P308" s="4"/>
      <c r="Q308" s="11">
        <v>0</v>
      </c>
      <c r="R308" s="4"/>
      <c r="S308" s="12"/>
    </row>
    <row r="309" spans="1:19" x14ac:dyDescent="0.25">
      <c r="A309" s="9" t="s">
        <v>291</v>
      </c>
      <c r="B309" s="9" t="s">
        <v>291</v>
      </c>
      <c r="C309" s="4">
        <v>201001806</v>
      </c>
      <c r="D309" s="4"/>
      <c r="E309" s="4" t="str">
        <f>"036042010"</f>
        <v>036042010</v>
      </c>
      <c r="F309" s="10">
        <v>40213</v>
      </c>
      <c r="G309" s="11">
        <v>2759</v>
      </c>
      <c r="H309" s="11">
        <v>2759</v>
      </c>
      <c r="I309" s="4" t="s">
        <v>300</v>
      </c>
      <c r="J309" s="4" t="s">
        <v>301</v>
      </c>
      <c r="K309" s="11">
        <v>0</v>
      </c>
      <c r="L309" s="4"/>
      <c r="M309" s="4"/>
      <c r="N309" s="11">
        <v>0</v>
      </c>
      <c r="O309" s="4"/>
      <c r="P309" s="4"/>
      <c r="Q309" s="11">
        <v>0</v>
      </c>
      <c r="R309" s="4"/>
      <c r="S309" s="12"/>
    </row>
    <row r="310" spans="1:19" x14ac:dyDescent="0.25">
      <c r="A310" s="9" t="s">
        <v>291</v>
      </c>
      <c r="B310" s="9" t="s">
        <v>291</v>
      </c>
      <c r="C310" s="4">
        <v>201001881</v>
      </c>
      <c r="D310" s="4" t="s">
        <v>2534</v>
      </c>
      <c r="E310" s="4" t="str">
        <f>"040262010"</f>
        <v>040262010</v>
      </c>
      <c r="F310" s="10">
        <v>40232</v>
      </c>
      <c r="G310" s="11">
        <v>800000</v>
      </c>
      <c r="H310" s="11">
        <v>0</v>
      </c>
      <c r="I310" s="4"/>
      <c r="J310" s="4"/>
      <c r="K310" s="11">
        <v>800000</v>
      </c>
      <c r="L310" s="4" t="s">
        <v>279</v>
      </c>
      <c r="M310" s="4" t="s">
        <v>280</v>
      </c>
      <c r="N310" s="11">
        <v>0</v>
      </c>
      <c r="O310" s="4"/>
      <c r="P310" s="4"/>
      <c r="Q310" s="11">
        <v>0</v>
      </c>
      <c r="R310" s="4"/>
      <c r="S310" s="12"/>
    </row>
    <row r="311" spans="1:19" x14ac:dyDescent="0.25">
      <c r="A311" s="9" t="s">
        <v>291</v>
      </c>
      <c r="B311" s="9" t="s">
        <v>291</v>
      </c>
      <c r="C311" s="4">
        <v>201002030</v>
      </c>
      <c r="D311" s="4" t="s">
        <v>302</v>
      </c>
      <c r="E311" s="4" t="str">
        <f>"042332010"</f>
        <v>042332010</v>
      </c>
      <c r="F311" s="10">
        <v>40246</v>
      </c>
      <c r="G311" s="11">
        <v>1668.09</v>
      </c>
      <c r="H311" s="11">
        <v>0</v>
      </c>
      <c r="I311" s="4"/>
      <c r="J311" s="4"/>
      <c r="K311" s="11">
        <v>1668.09</v>
      </c>
      <c r="L311" s="4" t="s">
        <v>293</v>
      </c>
      <c r="M311" s="4" t="s">
        <v>294</v>
      </c>
      <c r="N311" s="11">
        <v>0</v>
      </c>
      <c r="O311" s="4"/>
      <c r="P311" s="4"/>
      <c r="Q311" s="11">
        <v>0</v>
      </c>
      <c r="R311" s="4"/>
      <c r="S311" s="12"/>
    </row>
    <row r="312" spans="1:19" x14ac:dyDescent="0.25">
      <c r="A312" s="9" t="s">
        <v>291</v>
      </c>
      <c r="B312" s="9" t="s">
        <v>291</v>
      </c>
      <c r="C312" s="4">
        <v>201002071</v>
      </c>
      <c r="D312" s="4" t="s">
        <v>303</v>
      </c>
      <c r="E312" s="4" t="str">
        <f>"040742010"</f>
        <v>040742010</v>
      </c>
      <c r="F312" s="10">
        <v>40234</v>
      </c>
      <c r="G312" s="11">
        <v>22625.81</v>
      </c>
      <c r="H312" s="11">
        <v>0</v>
      </c>
      <c r="I312" s="4"/>
      <c r="J312" s="4"/>
      <c r="K312" s="11">
        <v>0</v>
      </c>
      <c r="L312" s="4"/>
      <c r="M312" s="4"/>
      <c r="N312" s="11">
        <v>22625.81</v>
      </c>
      <c r="O312" s="4" t="s">
        <v>56</v>
      </c>
      <c r="P312" s="4" t="s">
        <v>57</v>
      </c>
      <c r="Q312" s="11">
        <v>0</v>
      </c>
      <c r="R312" s="4"/>
      <c r="S312" s="12"/>
    </row>
    <row r="313" spans="1:19" x14ac:dyDescent="0.25">
      <c r="A313" s="9" t="s">
        <v>291</v>
      </c>
      <c r="B313" s="9" t="s">
        <v>291</v>
      </c>
      <c r="C313" s="4">
        <v>201002146</v>
      </c>
      <c r="D313" s="4" t="s">
        <v>2534</v>
      </c>
      <c r="E313" s="4" t="str">
        <f>"043672010"</f>
        <v>043672010</v>
      </c>
      <c r="F313" s="10">
        <v>40245</v>
      </c>
      <c r="G313" s="11">
        <v>4901.18</v>
      </c>
      <c r="H313" s="11">
        <v>0</v>
      </c>
      <c r="I313" s="4"/>
      <c r="J313" s="4"/>
      <c r="K313" s="11">
        <v>4901.18</v>
      </c>
      <c r="L313" s="4" t="s">
        <v>300</v>
      </c>
      <c r="M313" s="4" t="s">
        <v>301</v>
      </c>
      <c r="N313" s="11">
        <v>0</v>
      </c>
      <c r="O313" s="4"/>
      <c r="P313" s="4"/>
      <c r="Q313" s="11">
        <v>0</v>
      </c>
      <c r="R313" s="4"/>
      <c r="S313" s="12"/>
    </row>
    <row r="314" spans="1:19" x14ac:dyDescent="0.25">
      <c r="A314" s="9" t="s">
        <v>291</v>
      </c>
      <c r="B314" s="9" t="s">
        <v>291</v>
      </c>
      <c r="C314" s="4">
        <v>201002148</v>
      </c>
      <c r="D314" s="4" t="s">
        <v>304</v>
      </c>
      <c r="E314" s="4" t="str">
        <f>"064842010"</f>
        <v>064842010</v>
      </c>
      <c r="F314" s="10">
        <v>40302</v>
      </c>
      <c r="G314" s="11">
        <v>1066</v>
      </c>
      <c r="H314" s="11">
        <v>0</v>
      </c>
      <c r="I314" s="4"/>
      <c r="J314" s="4"/>
      <c r="K314" s="11">
        <v>0</v>
      </c>
      <c r="L314" s="4"/>
      <c r="M314" s="4"/>
      <c r="N314" s="11">
        <v>1066</v>
      </c>
      <c r="O314" s="4" t="s">
        <v>56</v>
      </c>
      <c r="P314" s="4" t="s">
        <v>57</v>
      </c>
      <c r="Q314" s="11">
        <v>0</v>
      </c>
      <c r="R314" s="4"/>
      <c r="S314" s="12"/>
    </row>
    <row r="315" spans="1:19" x14ac:dyDescent="0.25">
      <c r="A315" s="9" t="s">
        <v>291</v>
      </c>
      <c r="B315" s="9" t="s">
        <v>291</v>
      </c>
      <c r="C315" s="4">
        <v>201002312</v>
      </c>
      <c r="D315" s="4" t="s">
        <v>305</v>
      </c>
      <c r="E315" s="4" t="str">
        <f>"046682010"</f>
        <v>046682010</v>
      </c>
      <c r="F315" s="10">
        <v>40252</v>
      </c>
      <c r="G315" s="11">
        <v>1604.6</v>
      </c>
      <c r="H315" s="11">
        <v>0</v>
      </c>
      <c r="I315" s="4"/>
      <c r="J315" s="4"/>
      <c r="K315" s="11">
        <v>0</v>
      </c>
      <c r="L315" s="4"/>
      <c r="M315" s="4"/>
      <c r="N315" s="11">
        <v>1604.6</v>
      </c>
      <c r="O315" s="4" t="s">
        <v>56</v>
      </c>
      <c r="P315" s="4" t="s">
        <v>57</v>
      </c>
      <c r="Q315" s="11">
        <v>0</v>
      </c>
      <c r="R315" s="4"/>
      <c r="S315" s="12"/>
    </row>
    <row r="316" spans="1:19" x14ac:dyDescent="0.25">
      <c r="A316" s="9" t="s">
        <v>291</v>
      </c>
      <c r="B316" s="9" t="s">
        <v>291</v>
      </c>
      <c r="C316" s="4">
        <v>201002325</v>
      </c>
      <c r="D316" s="4" t="s">
        <v>306</v>
      </c>
      <c r="E316" s="4" t="str">
        <f>"045562010"</f>
        <v>045562010</v>
      </c>
      <c r="F316" s="10">
        <v>40248</v>
      </c>
      <c r="G316" s="11">
        <v>300</v>
      </c>
      <c r="H316" s="11">
        <v>0</v>
      </c>
      <c r="I316" s="4"/>
      <c r="J316" s="4"/>
      <c r="K316" s="11">
        <v>0</v>
      </c>
      <c r="L316" s="4"/>
      <c r="M316" s="4"/>
      <c r="N316" s="11">
        <v>300</v>
      </c>
      <c r="O316" s="4" t="s">
        <v>56</v>
      </c>
      <c r="P316" s="4" t="s">
        <v>57</v>
      </c>
      <c r="Q316" s="11">
        <v>0</v>
      </c>
      <c r="R316" s="4"/>
      <c r="S316" s="12"/>
    </row>
    <row r="317" spans="1:19" x14ac:dyDescent="0.25">
      <c r="A317" s="9" t="s">
        <v>291</v>
      </c>
      <c r="B317" s="9" t="s">
        <v>291</v>
      </c>
      <c r="C317" s="4">
        <v>201002720</v>
      </c>
      <c r="D317" s="4" t="s">
        <v>307</v>
      </c>
      <c r="E317" s="4" t="str">
        <f>"053422010"</f>
        <v>053422010</v>
      </c>
      <c r="F317" s="10">
        <v>40273</v>
      </c>
      <c r="G317" s="11">
        <v>250</v>
      </c>
      <c r="H317" s="11">
        <v>0</v>
      </c>
      <c r="I317" s="4"/>
      <c r="J317" s="4"/>
      <c r="K317" s="11">
        <v>0</v>
      </c>
      <c r="L317" s="4"/>
      <c r="M317" s="4"/>
      <c r="N317" s="11">
        <v>250</v>
      </c>
      <c r="O317" s="4" t="s">
        <v>308</v>
      </c>
      <c r="P317" s="4" t="s">
        <v>309</v>
      </c>
      <c r="Q317" s="11">
        <v>0</v>
      </c>
      <c r="R317" s="4"/>
      <c r="S317" s="12"/>
    </row>
    <row r="318" spans="1:19" x14ac:dyDescent="0.25">
      <c r="A318" s="9" t="s">
        <v>291</v>
      </c>
      <c r="B318" s="9" t="s">
        <v>291</v>
      </c>
      <c r="C318" s="4">
        <v>201002805</v>
      </c>
      <c r="D318" s="4" t="s">
        <v>310</v>
      </c>
      <c r="E318" s="4" t="str">
        <f>"062222010"</f>
        <v>062222010</v>
      </c>
      <c r="F318" s="10">
        <v>40296</v>
      </c>
      <c r="G318" s="11">
        <v>206</v>
      </c>
      <c r="H318" s="11">
        <v>0</v>
      </c>
      <c r="I318" s="4"/>
      <c r="J318" s="4"/>
      <c r="K318" s="11">
        <v>0</v>
      </c>
      <c r="L318" s="4"/>
      <c r="M318" s="4"/>
      <c r="N318" s="11">
        <v>206</v>
      </c>
      <c r="O318" s="4" t="s">
        <v>56</v>
      </c>
      <c r="P318" s="4" t="s">
        <v>57</v>
      </c>
      <c r="Q318" s="11">
        <v>0</v>
      </c>
      <c r="R318" s="4"/>
      <c r="S318" s="12"/>
    </row>
    <row r="319" spans="1:19" x14ac:dyDescent="0.25">
      <c r="A319" s="9" t="s">
        <v>291</v>
      </c>
      <c r="B319" s="9" t="s">
        <v>291</v>
      </c>
      <c r="C319" s="4">
        <v>201002936</v>
      </c>
      <c r="D319" s="4"/>
      <c r="E319" s="4" t="str">
        <f>"060842010"</f>
        <v>060842010</v>
      </c>
      <c r="F319" s="10">
        <v>40290</v>
      </c>
      <c r="G319" s="11">
        <v>15571.1</v>
      </c>
      <c r="H319" s="11">
        <v>0</v>
      </c>
      <c r="I319" s="4"/>
      <c r="J319" s="4"/>
      <c r="K319" s="11">
        <v>0</v>
      </c>
      <c r="L319" s="4"/>
      <c r="M319" s="4"/>
      <c r="N319" s="11">
        <v>15571.1</v>
      </c>
      <c r="O319" s="4" t="s">
        <v>56</v>
      </c>
      <c r="P319" s="4" t="s">
        <v>57</v>
      </c>
      <c r="Q319" s="11">
        <v>0</v>
      </c>
      <c r="R319" s="4"/>
      <c r="S319" s="12"/>
    </row>
    <row r="320" spans="1:19" x14ac:dyDescent="0.25">
      <c r="A320" s="9" t="s">
        <v>291</v>
      </c>
      <c r="B320" s="9" t="s">
        <v>291</v>
      </c>
      <c r="C320" s="4">
        <v>201003049</v>
      </c>
      <c r="D320" s="4" t="s">
        <v>311</v>
      </c>
      <c r="E320" s="4" t="str">
        <f>"060382010"</f>
        <v>060382010</v>
      </c>
      <c r="F320" s="10">
        <v>40290</v>
      </c>
      <c r="G320" s="11">
        <v>4500</v>
      </c>
      <c r="H320" s="11">
        <v>4500</v>
      </c>
      <c r="I320" s="4" t="s">
        <v>312</v>
      </c>
      <c r="J320" s="4" t="s">
        <v>313</v>
      </c>
      <c r="K320" s="11">
        <v>0</v>
      </c>
      <c r="L320" s="4"/>
      <c r="M320" s="4"/>
      <c r="N320" s="11">
        <v>0</v>
      </c>
      <c r="O320" s="4"/>
      <c r="P320" s="4"/>
      <c r="Q320" s="11">
        <v>0</v>
      </c>
      <c r="R320" s="4"/>
      <c r="S320" s="12"/>
    </row>
    <row r="321" spans="1:19" x14ac:dyDescent="0.25">
      <c r="A321" s="9" t="s">
        <v>291</v>
      </c>
      <c r="B321" s="9" t="s">
        <v>291</v>
      </c>
      <c r="C321" s="4">
        <v>201003082</v>
      </c>
      <c r="D321" s="4"/>
      <c r="E321" s="4" t="str">
        <f>"061362010"</f>
        <v>061362010</v>
      </c>
      <c r="F321" s="10">
        <v>40291</v>
      </c>
      <c r="G321" s="11">
        <v>377</v>
      </c>
      <c r="H321" s="11">
        <v>377</v>
      </c>
      <c r="I321" s="4" t="s">
        <v>123</v>
      </c>
      <c r="J321" s="4" t="s">
        <v>124</v>
      </c>
      <c r="K321" s="11">
        <v>0</v>
      </c>
      <c r="L321" s="4"/>
      <c r="M321" s="4"/>
      <c r="N321" s="11">
        <v>0</v>
      </c>
      <c r="O321" s="4"/>
      <c r="P321" s="4"/>
      <c r="Q321" s="11">
        <v>0</v>
      </c>
      <c r="R321" s="4"/>
      <c r="S321" s="12"/>
    </row>
    <row r="322" spans="1:19" x14ac:dyDescent="0.25">
      <c r="A322" s="9" t="s">
        <v>291</v>
      </c>
      <c r="B322" s="9" t="s">
        <v>291</v>
      </c>
      <c r="C322" s="4">
        <v>201003115</v>
      </c>
      <c r="D322" s="4"/>
      <c r="E322" s="4" t="str">
        <f>"063982010"</f>
        <v>063982010</v>
      </c>
      <c r="F322" s="10">
        <v>40302</v>
      </c>
      <c r="G322" s="11">
        <v>350</v>
      </c>
      <c r="H322" s="11">
        <v>0</v>
      </c>
      <c r="I322" s="4"/>
      <c r="J322" s="4"/>
      <c r="K322" s="11">
        <v>0</v>
      </c>
      <c r="L322" s="4"/>
      <c r="M322" s="4"/>
      <c r="N322" s="11">
        <v>350</v>
      </c>
      <c r="O322" s="4" t="s">
        <v>56</v>
      </c>
      <c r="P322" s="4" t="s">
        <v>57</v>
      </c>
      <c r="Q322" s="11">
        <v>0</v>
      </c>
      <c r="R322" s="4"/>
      <c r="S322" s="12"/>
    </row>
    <row r="323" spans="1:19" x14ac:dyDescent="0.25">
      <c r="A323" s="9" t="s">
        <v>291</v>
      </c>
      <c r="B323" s="9" t="s">
        <v>291</v>
      </c>
      <c r="C323" s="4">
        <v>201003623</v>
      </c>
      <c r="D323" s="4" t="s">
        <v>314</v>
      </c>
      <c r="E323" s="4" t="str">
        <f>"077632010"</f>
        <v>077632010</v>
      </c>
      <c r="F323" s="10">
        <v>40340</v>
      </c>
      <c r="G323" s="11">
        <v>700</v>
      </c>
      <c r="H323" s="11">
        <v>700</v>
      </c>
      <c r="I323" s="4" t="s">
        <v>38</v>
      </c>
      <c r="J323" s="4" t="s">
        <v>39</v>
      </c>
      <c r="K323" s="11">
        <v>0</v>
      </c>
      <c r="L323" s="4"/>
      <c r="M323" s="4"/>
      <c r="N323" s="11">
        <v>0</v>
      </c>
      <c r="O323" s="4"/>
      <c r="P323" s="4"/>
      <c r="Q323" s="11">
        <v>0</v>
      </c>
      <c r="R323" s="4"/>
      <c r="S323" s="12"/>
    </row>
    <row r="324" spans="1:19" x14ac:dyDescent="0.25">
      <c r="A324" s="9" t="s">
        <v>291</v>
      </c>
      <c r="B324" s="9" t="s">
        <v>291</v>
      </c>
      <c r="C324" s="4">
        <v>201003734</v>
      </c>
      <c r="D324" s="4" t="s">
        <v>315</v>
      </c>
      <c r="E324" s="4" t="str">
        <f>"076942010"</f>
        <v>076942010</v>
      </c>
      <c r="F324" s="10">
        <v>40337</v>
      </c>
      <c r="G324" s="11">
        <v>450</v>
      </c>
      <c r="H324" s="11">
        <v>0</v>
      </c>
      <c r="I324" s="4"/>
      <c r="J324" s="4"/>
      <c r="K324" s="11">
        <v>0</v>
      </c>
      <c r="L324" s="4"/>
      <c r="M324" s="4"/>
      <c r="N324" s="11">
        <v>450</v>
      </c>
      <c r="O324" s="4" t="s">
        <v>56</v>
      </c>
      <c r="P324" s="4" t="s">
        <v>57</v>
      </c>
      <c r="Q324" s="11">
        <v>0</v>
      </c>
      <c r="R324" s="4"/>
      <c r="S324" s="12"/>
    </row>
    <row r="325" spans="1:19" x14ac:dyDescent="0.25">
      <c r="A325" s="9" t="s">
        <v>291</v>
      </c>
      <c r="B325" s="9" t="s">
        <v>291</v>
      </c>
      <c r="C325" s="4">
        <v>201003855</v>
      </c>
      <c r="D325" s="4"/>
      <c r="E325" s="4" t="str">
        <f>"081922010"</f>
        <v>081922010</v>
      </c>
      <c r="F325" s="10">
        <v>40347</v>
      </c>
      <c r="G325" s="11">
        <v>269.18</v>
      </c>
      <c r="H325" s="11">
        <v>0</v>
      </c>
      <c r="I325" s="4"/>
      <c r="J325" s="4"/>
      <c r="K325" s="11">
        <v>0</v>
      </c>
      <c r="L325" s="4"/>
      <c r="M325" s="4"/>
      <c r="N325" s="11">
        <v>269.18</v>
      </c>
      <c r="O325" s="4" t="s">
        <v>56</v>
      </c>
      <c r="P325" s="4" t="s">
        <v>57</v>
      </c>
      <c r="Q325" s="11">
        <v>0</v>
      </c>
      <c r="R325" s="4"/>
      <c r="S325" s="12"/>
    </row>
    <row r="326" spans="1:19" x14ac:dyDescent="0.25">
      <c r="A326" s="9" t="s">
        <v>291</v>
      </c>
      <c r="B326" s="9" t="s">
        <v>291</v>
      </c>
      <c r="C326" s="4">
        <v>201004033</v>
      </c>
      <c r="D326" s="4" t="s">
        <v>316</v>
      </c>
      <c r="E326" s="4" t="str">
        <f>"079802010"</f>
        <v>079802010</v>
      </c>
      <c r="F326" s="10">
        <v>40344</v>
      </c>
      <c r="G326" s="11">
        <v>252144.29</v>
      </c>
      <c r="H326" s="11">
        <v>250000</v>
      </c>
      <c r="I326" s="4" t="s">
        <v>38</v>
      </c>
      <c r="J326" s="4" t="s">
        <v>39</v>
      </c>
      <c r="K326" s="11">
        <v>0</v>
      </c>
      <c r="L326" s="4"/>
      <c r="M326" s="4"/>
      <c r="N326" s="11">
        <v>0</v>
      </c>
      <c r="O326" s="4"/>
      <c r="P326" s="4"/>
      <c r="Q326" s="11">
        <v>2144.29</v>
      </c>
      <c r="R326" s="4" t="s">
        <v>317</v>
      </c>
      <c r="S326" s="12" t="s">
        <v>318</v>
      </c>
    </row>
    <row r="327" spans="1:19" x14ac:dyDescent="0.25">
      <c r="A327" s="9" t="s">
        <v>291</v>
      </c>
      <c r="B327" s="9" t="s">
        <v>291</v>
      </c>
      <c r="C327" s="4">
        <v>201004053</v>
      </c>
      <c r="D327" s="4" t="s">
        <v>319</v>
      </c>
      <c r="E327" s="4" t="str">
        <f>"085162010"</f>
        <v>085162010</v>
      </c>
      <c r="F327" s="10">
        <v>40353</v>
      </c>
      <c r="G327" s="11">
        <v>781.21</v>
      </c>
      <c r="H327" s="11">
        <v>0</v>
      </c>
      <c r="I327" s="4"/>
      <c r="J327" s="4"/>
      <c r="K327" s="11">
        <v>0</v>
      </c>
      <c r="L327" s="4"/>
      <c r="M327" s="4"/>
      <c r="N327" s="11">
        <v>781.21</v>
      </c>
      <c r="O327" s="4" t="s">
        <v>56</v>
      </c>
      <c r="P327" s="4" t="s">
        <v>57</v>
      </c>
      <c r="Q327" s="11">
        <v>0</v>
      </c>
      <c r="R327" s="4"/>
      <c r="S327" s="12"/>
    </row>
    <row r="328" spans="1:19" x14ac:dyDescent="0.25">
      <c r="A328" s="9" t="s">
        <v>291</v>
      </c>
      <c r="B328" s="9" t="s">
        <v>291</v>
      </c>
      <c r="C328" s="4">
        <v>201004300</v>
      </c>
      <c r="D328" s="4" t="s">
        <v>320</v>
      </c>
      <c r="E328" s="4" t="str">
        <f>"085662010"</f>
        <v>085662010</v>
      </c>
      <c r="F328" s="10">
        <v>40357</v>
      </c>
      <c r="G328" s="11">
        <v>300</v>
      </c>
      <c r="H328" s="11">
        <v>0</v>
      </c>
      <c r="I328" s="4"/>
      <c r="J328" s="4"/>
      <c r="K328" s="11">
        <v>0</v>
      </c>
      <c r="L328" s="4"/>
      <c r="M328" s="4"/>
      <c r="N328" s="11">
        <v>300</v>
      </c>
      <c r="O328" s="4" t="s">
        <v>56</v>
      </c>
      <c r="P328" s="4" t="s">
        <v>57</v>
      </c>
      <c r="Q328" s="11">
        <v>0</v>
      </c>
      <c r="R328" s="4"/>
      <c r="S328" s="12"/>
    </row>
    <row r="329" spans="1:19" x14ac:dyDescent="0.25">
      <c r="A329" s="9" t="s">
        <v>291</v>
      </c>
      <c r="B329" s="9" t="s">
        <v>291</v>
      </c>
      <c r="C329" s="4">
        <v>201004399</v>
      </c>
      <c r="D329" s="4" t="s">
        <v>2534</v>
      </c>
      <c r="E329" s="4" t="str">
        <f>"106542010"</f>
        <v>106542010</v>
      </c>
      <c r="F329" s="10">
        <v>40417</v>
      </c>
      <c r="G329" s="11">
        <v>4509.6499999999996</v>
      </c>
      <c r="H329" s="11">
        <v>0</v>
      </c>
      <c r="I329" s="4"/>
      <c r="J329" s="4"/>
      <c r="K329" s="11">
        <v>4509.6499999999996</v>
      </c>
      <c r="L329" s="4" t="s">
        <v>300</v>
      </c>
      <c r="M329" s="4" t="s">
        <v>301</v>
      </c>
      <c r="N329" s="11">
        <v>0</v>
      </c>
      <c r="O329" s="4"/>
      <c r="P329" s="4"/>
      <c r="Q329" s="11">
        <v>0</v>
      </c>
      <c r="R329" s="4"/>
      <c r="S329" s="12"/>
    </row>
    <row r="330" spans="1:19" x14ac:dyDescent="0.25">
      <c r="A330" s="9" t="s">
        <v>291</v>
      </c>
      <c r="B330" s="9" t="s">
        <v>291</v>
      </c>
      <c r="C330" s="4">
        <v>201004418</v>
      </c>
      <c r="D330" s="4"/>
      <c r="E330" s="4" t="str">
        <f>"089142010"</f>
        <v>089142010</v>
      </c>
      <c r="F330" s="10">
        <v>40366</v>
      </c>
      <c r="G330" s="11">
        <v>4800.1499999999996</v>
      </c>
      <c r="H330" s="11">
        <v>0</v>
      </c>
      <c r="I330" s="4"/>
      <c r="J330" s="4"/>
      <c r="K330" s="11">
        <v>4800.1499999999996</v>
      </c>
      <c r="L330" s="4" t="s">
        <v>312</v>
      </c>
      <c r="M330" s="4" t="s">
        <v>313</v>
      </c>
      <c r="N330" s="11">
        <v>0</v>
      </c>
      <c r="O330" s="4"/>
      <c r="P330" s="4"/>
      <c r="Q330" s="11">
        <v>0</v>
      </c>
      <c r="R330" s="4"/>
      <c r="S330" s="12"/>
    </row>
    <row r="331" spans="1:19" x14ac:dyDescent="0.25">
      <c r="A331" s="9" t="s">
        <v>291</v>
      </c>
      <c r="B331" s="9" t="s">
        <v>291</v>
      </c>
      <c r="C331" s="4">
        <v>201004439</v>
      </c>
      <c r="D331" s="4"/>
      <c r="E331" s="4" t="str">
        <f>"089402010"</f>
        <v>089402010</v>
      </c>
      <c r="F331" s="10">
        <v>40366</v>
      </c>
      <c r="G331" s="11">
        <v>251.62</v>
      </c>
      <c r="H331" s="11">
        <v>0</v>
      </c>
      <c r="I331" s="4"/>
      <c r="J331" s="4"/>
      <c r="K331" s="11">
        <v>0</v>
      </c>
      <c r="L331" s="4"/>
      <c r="M331" s="4"/>
      <c r="N331" s="11">
        <v>251.62</v>
      </c>
      <c r="O331" s="4" t="s">
        <v>30</v>
      </c>
      <c r="P331" s="4" t="s">
        <v>31</v>
      </c>
      <c r="Q331" s="11">
        <v>0</v>
      </c>
      <c r="R331" s="4"/>
      <c r="S331" s="12"/>
    </row>
    <row r="332" spans="1:19" x14ac:dyDescent="0.25">
      <c r="A332" s="9" t="s">
        <v>291</v>
      </c>
      <c r="B332" s="9" t="s">
        <v>291</v>
      </c>
      <c r="C332" s="4">
        <v>201004532</v>
      </c>
      <c r="D332" s="4" t="s">
        <v>321</v>
      </c>
      <c r="E332" s="4" t="str">
        <f>"090222010"</f>
        <v>090222010</v>
      </c>
      <c r="F332" s="10">
        <v>40367</v>
      </c>
      <c r="G332" s="11">
        <v>300</v>
      </c>
      <c r="H332" s="11">
        <v>0</v>
      </c>
      <c r="I332" s="4"/>
      <c r="J332" s="4"/>
      <c r="K332" s="11">
        <v>0</v>
      </c>
      <c r="L332" s="4"/>
      <c r="M332" s="4"/>
      <c r="N332" s="11">
        <v>300</v>
      </c>
      <c r="O332" s="4" t="s">
        <v>56</v>
      </c>
      <c r="P332" s="4" t="s">
        <v>57</v>
      </c>
      <c r="Q332" s="11">
        <v>0</v>
      </c>
      <c r="R332" s="4"/>
      <c r="S332" s="12"/>
    </row>
    <row r="333" spans="1:19" x14ac:dyDescent="0.25">
      <c r="A333" s="9" t="s">
        <v>291</v>
      </c>
      <c r="B333" s="9" t="s">
        <v>291</v>
      </c>
      <c r="C333" s="4">
        <v>201004586</v>
      </c>
      <c r="D333" s="4" t="s">
        <v>322</v>
      </c>
      <c r="E333" s="4" t="str">
        <f>"093062010"</f>
        <v>093062010</v>
      </c>
      <c r="F333" s="10">
        <v>40372</v>
      </c>
      <c r="G333" s="11">
        <v>57368.73</v>
      </c>
      <c r="H333" s="11">
        <v>0</v>
      </c>
      <c r="I333" s="4"/>
      <c r="J333" s="4"/>
      <c r="K333" s="11">
        <v>0</v>
      </c>
      <c r="L333" s="4"/>
      <c r="M333" s="4"/>
      <c r="N333" s="11">
        <v>0</v>
      </c>
      <c r="O333" s="4"/>
      <c r="P333" s="4"/>
      <c r="Q333" s="11">
        <v>57368.73</v>
      </c>
      <c r="R333" s="4" t="s">
        <v>317</v>
      </c>
      <c r="S333" s="12" t="s">
        <v>318</v>
      </c>
    </row>
    <row r="334" spans="1:19" x14ac:dyDescent="0.25">
      <c r="A334" s="9" t="s">
        <v>291</v>
      </c>
      <c r="B334" s="9" t="s">
        <v>291</v>
      </c>
      <c r="C334" s="4">
        <v>201004640</v>
      </c>
      <c r="D334" s="4" t="s">
        <v>323</v>
      </c>
      <c r="E334" s="4" t="str">
        <f>"098762010"</f>
        <v>098762010</v>
      </c>
      <c r="F334" s="10">
        <v>40396</v>
      </c>
      <c r="G334" s="11">
        <v>326.5</v>
      </c>
      <c r="H334" s="11">
        <v>0</v>
      </c>
      <c r="I334" s="4"/>
      <c r="J334" s="4"/>
      <c r="K334" s="11">
        <v>0</v>
      </c>
      <c r="L334" s="4"/>
      <c r="M334" s="4"/>
      <c r="N334" s="11">
        <v>326.5</v>
      </c>
      <c r="O334" s="4" t="s">
        <v>56</v>
      </c>
      <c r="P334" s="4" t="s">
        <v>57</v>
      </c>
      <c r="Q334" s="11">
        <v>0</v>
      </c>
      <c r="R334" s="4"/>
      <c r="S334" s="12"/>
    </row>
    <row r="335" spans="1:19" x14ac:dyDescent="0.25">
      <c r="A335" s="9" t="s">
        <v>291</v>
      </c>
      <c r="B335" s="9" t="s">
        <v>291</v>
      </c>
      <c r="C335" s="4">
        <v>201004756</v>
      </c>
      <c r="D335" s="4" t="s">
        <v>324</v>
      </c>
      <c r="E335" s="4" t="str">
        <f>"096632010"</f>
        <v>096632010</v>
      </c>
      <c r="F335" s="10">
        <v>40387</v>
      </c>
      <c r="G335" s="11">
        <v>38600</v>
      </c>
      <c r="H335" s="11">
        <v>38600</v>
      </c>
      <c r="I335" s="4" t="s">
        <v>30</v>
      </c>
      <c r="J335" s="4" t="s">
        <v>31</v>
      </c>
      <c r="K335" s="11">
        <v>0</v>
      </c>
      <c r="L335" s="4"/>
      <c r="M335" s="4"/>
      <c r="N335" s="11">
        <v>0</v>
      </c>
      <c r="O335" s="4"/>
      <c r="P335" s="4"/>
      <c r="Q335" s="11">
        <v>0</v>
      </c>
      <c r="R335" s="4"/>
      <c r="S335" s="12"/>
    </row>
    <row r="336" spans="1:19" x14ac:dyDescent="0.25">
      <c r="A336" s="9" t="s">
        <v>291</v>
      </c>
      <c r="B336" s="9" t="s">
        <v>291</v>
      </c>
      <c r="C336" s="4">
        <v>201004836</v>
      </c>
      <c r="D336" s="4" t="s">
        <v>2534</v>
      </c>
      <c r="E336" s="4" t="str">
        <f>"097612010"</f>
        <v>097612010</v>
      </c>
      <c r="F336" s="10">
        <v>40394</v>
      </c>
      <c r="G336" s="11">
        <v>325038.64</v>
      </c>
      <c r="H336" s="11">
        <v>0</v>
      </c>
      <c r="I336" s="4"/>
      <c r="J336" s="4"/>
      <c r="K336" s="11">
        <v>325000</v>
      </c>
      <c r="L336" s="4" t="s">
        <v>167</v>
      </c>
      <c r="M336" s="4" t="s">
        <v>168</v>
      </c>
      <c r="N336" s="11">
        <v>0</v>
      </c>
      <c r="O336" s="4"/>
      <c r="P336" s="4"/>
      <c r="Q336" s="11">
        <v>38.64</v>
      </c>
      <c r="R336" s="4" t="s">
        <v>167</v>
      </c>
      <c r="S336" s="12" t="s">
        <v>168</v>
      </c>
    </row>
    <row r="337" spans="1:19" x14ac:dyDescent="0.25">
      <c r="A337" s="9" t="s">
        <v>291</v>
      </c>
      <c r="B337" s="9" t="s">
        <v>291</v>
      </c>
      <c r="C337" s="4">
        <v>201004923</v>
      </c>
      <c r="D337" s="4" t="s">
        <v>325</v>
      </c>
      <c r="E337" s="4" t="str">
        <f>"098642010"</f>
        <v>098642010</v>
      </c>
      <c r="F337" s="10">
        <v>40396</v>
      </c>
      <c r="G337" s="11">
        <v>3150000</v>
      </c>
      <c r="H337" s="11">
        <v>0</v>
      </c>
      <c r="I337" s="4"/>
      <c r="J337" s="4"/>
      <c r="K337" s="11">
        <v>3150000</v>
      </c>
      <c r="L337" s="4" t="s">
        <v>279</v>
      </c>
      <c r="M337" s="4" t="s">
        <v>280</v>
      </c>
      <c r="N337" s="11">
        <v>0</v>
      </c>
      <c r="O337" s="4"/>
      <c r="P337" s="4"/>
      <c r="Q337" s="11">
        <v>0</v>
      </c>
      <c r="R337" s="4"/>
      <c r="S337" s="12"/>
    </row>
    <row r="338" spans="1:19" x14ac:dyDescent="0.25">
      <c r="A338" s="9" t="s">
        <v>291</v>
      </c>
      <c r="B338" s="9" t="s">
        <v>291</v>
      </c>
      <c r="C338" s="4">
        <v>201004958</v>
      </c>
      <c r="D338" s="4" t="s">
        <v>326</v>
      </c>
      <c r="E338" s="4" t="str">
        <f>"099812010"</f>
        <v>099812010</v>
      </c>
      <c r="F338" s="10">
        <v>40406</v>
      </c>
      <c r="G338" s="11">
        <v>300</v>
      </c>
      <c r="H338" s="11">
        <v>0</v>
      </c>
      <c r="I338" s="4"/>
      <c r="J338" s="4"/>
      <c r="K338" s="11">
        <v>0</v>
      </c>
      <c r="L338" s="4"/>
      <c r="M338" s="4"/>
      <c r="N338" s="11">
        <v>300</v>
      </c>
      <c r="O338" s="4" t="s">
        <v>56</v>
      </c>
      <c r="P338" s="4" t="s">
        <v>57</v>
      </c>
      <c r="Q338" s="11">
        <v>0</v>
      </c>
      <c r="R338" s="4"/>
      <c r="S338" s="12"/>
    </row>
    <row r="339" spans="1:19" x14ac:dyDescent="0.25">
      <c r="A339" s="9" t="s">
        <v>291</v>
      </c>
      <c r="B339" s="9" t="s">
        <v>291</v>
      </c>
      <c r="C339" s="4">
        <v>201004985</v>
      </c>
      <c r="D339" s="4" t="s">
        <v>327</v>
      </c>
      <c r="E339" s="4" t="str">
        <f>"099632010"</f>
        <v>099632010</v>
      </c>
      <c r="F339" s="10">
        <v>40401</v>
      </c>
      <c r="G339" s="11">
        <v>1904</v>
      </c>
      <c r="H339" s="11">
        <v>0</v>
      </c>
      <c r="I339" s="4"/>
      <c r="J339" s="4"/>
      <c r="K339" s="11">
        <v>1904</v>
      </c>
      <c r="L339" s="4" t="s">
        <v>312</v>
      </c>
      <c r="M339" s="4" t="s">
        <v>313</v>
      </c>
      <c r="N339" s="11">
        <v>0</v>
      </c>
      <c r="O339" s="4"/>
      <c r="P339" s="4"/>
      <c r="Q339" s="11">
        <v>0</v>
      </c>
      <c r="R339" s="4"/>
      <c r="S339" s="12"/>
    </row>
    <row r="340" spans="1:19" x14ac:dyDescent="0.25">
      <c r="A340" s="9" t="s">
        <v>291</v>
      </c>
      <c r="B340" s="9" t="s">
        <v>291</v>
      </c>
      <c r="C340" s="4">
        <v>201004987</v>
      </c>
      <c r="D340" s="4" t="s">
        <v>328</v>
      </c>
      <c r="E340" s="4" t="str">
        <f>"099472010"</f>
        <v>099472010</v>
      </c>
      <c r="F340" s="10">
        <v>40396</v>
      </c>
      <c r="G340" s="11">
        <v>300</v>
      </c>
      <c r="H340" s="11">
        <v>0</v>
      </c>
      <c r="I340" s="4"/>
      <c r="J340" s="4"/>
      <c r="K340" s="11">
        <v>0</v>
      </c>
      <c r="L340" s="4"/>
      <c r="M340" s="4"/>
      <c r="N340" s="11">
        <v>300</v>
      </c>
      <c r="O340" s="4" t="s">
        <v>56</v>
      </c>
      <c r="P340" s="4" t="s">
        <v>57</v>
      </c>
      <c r="Q340" s="11">
        <v>0</v>
      </c>
      <c r="R340" s="4"/>
      <c r="S340" s="12"/>
    </row>
    <row r="341" spans="1:19" x14ac:dyDescent="0.25">
      <c r="A341" s="9" t="s">
        <v>291</v>
      </c>
      <c r="B341" s="9" t="s">
        <v>291</v>
      </c>
      <c r="C341" s="4">
        <v>201004996</v>
      </c>
      <c r="D341" s="4" t="s">
        <v>329</v>
      </c>
      <c r="E341" s="4" t="str">
        <f>"099452010"</f>
        <v>099452010</v>
      </c>
      <c r="F341" s="10">
        <v>40396</v>
      </c>
      <c r="G341" s="11">
        <v>300</v>
      </c>
      <c r="H341" s="11">
        <v>0</v>
      </c>
      <c r="I341" s="4"/>
      <c r="J341" s="4"/>
      <c r="K341" s="11">
        <v>0</v>
      </c>
      <c r="L341" s="4"/>
      <c r="M341" s="4"/>
      <c r="N341" s="11">
        <v>300</v>
      </c>
      <c r="O341" s="4" t="s">
        <v>56</v>
      </c>
      <c r="P341" s="4" t="s">
        <v>57</v>
      </c>
      <c r="Q341" s="11">
        <v>0</v>
      </c>
      <c r="R341" s="4"/>
      <c r="S341" s="12"/>
    </row>
    <row r="342" spans="1:19" x14ac:dyDescent="0.25">
      <c r="A342" s="9" t="s">
        <v>291</v>
      </c>
      <c r="B342" s="9" t="s">
        <v>291</v>
      </c>
      <c r="C342" s="4">
        <v>201005048</v>
      </c>
      <c r="D342" s="4" t="s">
        <v>330</v>
      </c>
      <c r="E342" s="4" t="str">
        <f>"100952010"</f>
        <v>100952010</v>
      </c>
      <c r="F342" s="10">
        <v>40407</v>
      </c>
      <c r="G342" s="11">
        <v>300</v>
      </c>
      <c r="H342" s="11">
        <v>0</v>
      </c>
      <c r="I342" s="4"/>
      <c r="J342" s="4"/>
      <c r="K342" s="11">
        <v>0</v>
      </c>
      <c r="L342" s="4"/>
      <c r="M342" s="4"/>
      <c r="N342" s="11">
        <v>300</v>
      </c>
      <c r="O342" s="4" t="s">
        <v>56</v>
      </c>
      <c r="P342" s="4" t="s">
        <v>57</v>
      </c>
      <c r="Q342" s="11">
        <v>0</v>
      </c>
      <c r="R342" s="4"/>
      <c r="S342" s="12"/>
    </row>
    <row r="343" spans="1:19" x14ac:dyDescent="0.25">
      <c r="A343" s="9" t="s">
        <v>291</v>
      </c>
      <c r="B343" s="9" t="s">
        <v>291</v>
      </c>
      <c r="C343" s="4">
        <v>201005054</v>
      </c>
      <c r="D343" s="4" t="s">
        <v>331</v>
      </c>
      <c r="E343" s="4" t="str">
        <f>"104452010"</f>
        <v>104452010</v>
      </c>
      <c r="F343" s="10">
        <v>40413</v>
      </c>
      <c r="G343" s="11">
        <v>300</v>
      </c>
      <c r="H343" s="11">
        <v>0</v>
      </c>
      <c r="I343" s="4"/>
      <c r="J343" s="4"/>
      <c r="K343" s="11">
        <v>0</v>
      </c>
      <c r="L343" s="4"/>
      <c r="M343" s="4"/>
      <c r="N343" s="11">
        <v>300</v>
      </c>
      <c r="O343" s="4" t="s">
        <v>56</v>
      </c>
      <c r="P343" s="4" t="s">
        <v>57</v>
      </c>
      <c r="Q343" s="11">
        <v>0</v>
      </c>
      <c r="R343" s="4"/>
      <c r="S343" s="12"/>
    </row>
    <row r="344" spans="1:19" x14ac:dyDescent="0.25">
      <c r="A344" s="9" t="s">
        <v>291</v>
      </c>
      <c r="B344" s="9" t="s">
        <v>291</v>
      </c>
      <c r="C344" s="4">
        <v>201005061</v>
      </c>
      <c r="D344" s="4" t="s">
        <v>332</v>
      </c>
      <c r="E344" s="4" t="str">
        <f>"102772010"</f>
        <v>102772010</v>
      </c>
      <c r="F344" s="10">
        <v>40409</v>
      </c>
      <c r="G344" s="11">
        <v>300</v>
      </c>
      <c r="H344" s="11">
        <v>0</v>
      </c>
      <c r="I344" s="4"/>
      <c r="J344" s="4"/>
      <c r="K344" s="11">
        <v>0</v>
      </c>
      <c r="L344" s="4"/>
      <c r="M344" s="4"/>
      <c r="N344" s="11">
        <v>300</v>
      </c>
      <c r="O344" s="4" t="s">
        <v>56</v>
      </c>
      <c r="P344" s="4" t="s">
        <v>57</v>
      </c>
      <c r="Q344" s="11">
        <v>0</v>
      </c>
      <c r="R344" s="4"/>
      <c r="S344" s="12"/>
    </row>
    <row r="345" spans="1:19" x14ac:dyDescent="0.25">
      <c r="A345" s="9" t="s">
        <v>291</v>
      </c>
      <c r="B345" s="9" t="s">
        <v>291</v>
      </c>
      <c r="C345" s="4">
        <v>201005403</v>
      </c>
      <c r="D345" s="4" t="s">
        <v>333</v>
      </c>
      <c r="E345" s="4" t="str">
        <f>"108892010"</f>
        <v>108892010</v>
      </c>
      <c r="F345" s="10">
        <v>40429</v>
      </c>
      <c r="G345" s="11">
        <v>352.25</v>
      </c>
      <c r="H345" s="11">
        <v>0</v>
      </c>
      <c r="I345" s="4"/>
      <c r="J345" s="4"/>
      <c r="K345" s="11">
        <v>0</v>
      </c>
      <c r="L345" s="4"/>
      <c r="M345" s="4"/>
      <c r="N345" s="11">
        <v>352.25</v>
      </c>
      <c r="O345" s="4" t="s">
        <v>56</v>
      </c>
      <c r="P345" s="4" t="s">
        <v>57</v>
      </c>
      <c r="Q345" s="11">
        <v>0</v>
      </c>
      <c r="R345" s="4"/>
      <c r="S345" s="12"/>
    </row>
    <row r="346" spans="1:19" x14ac:dyDescent="0.25">
      <c r="A346" s="9" t="s">
        <v>291</v>
      </c>
      <c r="B346" s="9" t="s">
        <v>291</v>
      </c>
      <c r="C346" s="4">
        <v>201005498</v>
      </c>
      <c r="D346" s="4" t="s">
        <v>334</v>
      </c>
      <c r="E346" s="4" t="str">
        <f>"109272010"</f>
        <v>109272010</v>
      </c>
      <c r="F346" s="10">
        <v>40430</v>
      </c>
      <c r="G346" s="11">
        <v>1890</v>
      </c>
      <c r="H346" s="11">
        <v>0</v>
      </c>
      <c r="I346" s="4"/>
      <c r="J346" s="4"/>
      <c r="K346" s="11">
        <v>0</v>
      </c>
      <c r="L346" s="4"/>
      <c r="M346" s="4"/>
      <c r="N346" s="11">
        <v>1890</v>
      </c>
      <c r="O346" s="4" t="s">
        <v>56</v>
      </c>
      <c r="P346" s="4" t="s">
        <v>57</v>
      </c>
      <c r="Q346" s="11">
        <v>0</v>
      </c>
      <c r="R346" s="4"/>
      <c r="S346" s="12"/>
    </row>
    <row r="347" spans="1:19" x14ac:dyDescent="0.25">
      <c r="A347" s="9" t="s">
        <v>291</v>
      </c>
      <c r="B347" s="9" t="s">
        <v>291</v>
      </c>
      <c r="C347" s="4">
        <v>201005576</v>
      </c>
      <c r="D347" s="4" t="s">
        <v>335</v>
      </c>
      <c r="E347" s="4" t="str">
        <f>"110492010"</f>
        <v>110492010</v>
      </c>
      <c r="F347" s="10">
        <v>40434</v>
      </c>
      <c r="G347" s="11">
        <v>1033</v>
      </c>
      <c r="H347" s="11">
        <v>1033</v>
      </c>
      <c r="I347" s="4" t="s">
        <v>23</v>
      </c>
      <c r="J347" s="4" t="s">
        <v>24</v>
      </c>
      <c r="K347" s="11">
        <v>0</v>
      </c>
      <c r="L347" s="4"/>
      <c r="M347" s="4"/>
      <c r="N347" s="11">
        <v>0</v>
      </c>
      <c r="O347" s="4"/>
      <c r="P347" s="4"/>
      <c r="Q347" s="11">
        <v>0</v>
      </c>
      <c r="R347" s="4"/>
      <c r="S347" s="12"/>
    </row>
    <row r="348" spans="1:19" x14ac:dyDescent="0.25">
      <c r="A348" s="9" t="s">
        <v>336</v>
      </c>
      <c r="B348" s="9" t="s">
        <v>291</v>
      </c>
      <c r="C348" s="4">
        <v>201000549</v>
      </c>
      <c r="D348" s="4" t="s">
        <v>337</v>
      </c>
      <c r="E348" s="4" t="str">
        <f>"010112010"</f>
        <v>010112010</v>
      </c>
      <c r="F348" s="10">
        <v>40123</v>
      </c>
      <c r="G348" s="11">
        <v>19000</v>
      </c>
      <c r="H348" s="11">
        <v>19000</v>
      </c>
      <c r="I348" s="4" t="s">
        <v>23</v>
      </c>
      <c r="J348" s="4" t="s">
        <v>24</v>
      </c>
      <c r="K348" s="11">
        <v>0</v>
      </c>
      <c r="L348" s="4"/>
      <c r="M348" s="4"/>
      <c r="N348" s="11">
        <v>0</v>
      </c>
      <c r="O348" s="4"/>
      <c r="P348" s="4"/>
      <c r="Q348" s="11">
        <v>0</v>
      </c>
      <c r="R348" s="4"/>
      <c r="S348" s="12"/>
    </row>
    <row r="349" spans="1:19" x14ac:dyDescent="0.25">
      <c r="A349" s="9" t="s">
        <v>336</v>
      </c>
      <c r="B349" s="9" t="s">
        <v>291</v>
      </c>
      <c r="C349" s="4">
        <v>201003445</v>
      </c>
      <c r="D349" s="4" t="s">
        <v>338</v>
      </c>
      <c r="E349" s="4" t="str">
        <f>"072872010"</f>
        <v>072872010</v>
      </c>
      <c r="F349" s="10">
        <v>40323</v>
      </c>
      <c r="G349" s="11">
        <v>7500</v>
      </c>
      <c r="H349" s="11">
        <v>7500</v>
      </c>
      <c r="I349" s="4" t="s">
        <v>23</v>
      </c>
      <c r="J349" s="4" t="s">
        <v>24</v>
      </c>
      <c r="K349" s="11">
        <v>0</v>
      </c>
      <c r="L349" s="4"/>
      <c r="M349" s="4"/>
      <c r="N349" s="11">
        <v>0</v>
      </c>
      <c r="O349" s="4"/>
      <c r="P349" s="4"/>
      <c r="Q349" s="11">
        <v>0</v>
      </c>
      <c r="R349" s="4"/>
      <c r="S349" s="12"/>
    </row>
    <row r="350" spans="1:19" x14ac:dyDescent="0.25">
      <c r="A350" s="9" t="s">
        <v>339</v>
      </c>
      <c r="B350" s="9" t="s">
        <v>291</v>
      </c>
      <c r="C350" s="4">
        <v>201000612</v>
      </c>
      <c r="D350" s="4" t="s">
        <v>340</v>
      </c>
      <c r="E350" s="4" t="str">
        <f>"011392010"</f>
        <v>011392010</v>
      </c>
      <c r="F350" s="10">
        <v>40129</v>
      </c>
      <c r="G350" s="11">
        <v>13500</v>
      </c>
      <c r="H350" s="11">
        <v>13500</v>
      </c>
      <c r="I350" s="4" t="s">
        <v>23</v>
      </c>
      <c r="J350" s="4" t="s">
        <v>24</v>
      </c>
      <c r="K350" s="11">
        <v>0</v>
      </c>
      <c r="L350" s="4"/>
      <c r="M350" s="4"/>
      <c r="N350" s="11">
        <v>0</v>
      </c>
      <c r="O350" s="4"/>
      <c r="P350" s="4"/>
      <c r="Q350" s="11">
        <v>0</v>
      </c>
      <c r="R350" s="4"/>
      <c r="S350" s="12"/>
    </row>
    <row r="351" spans="1:19" x14ac:dyDescent="0.25">
      <c r="A351" s="9" t="s">
        <v>341</v>
      </c>
      <c r="B351" s="9" t="s">
        <v>291</v>
      </c>
      <c r="C351" s="4">
        <v>201000806</v>
      </c>
      <c r="D351" s="4" t="s">
        <v>342</v>
      </c>
      <c r="E351" s="4" t="str">
        <f>"015782010"</f>
        <v>015782010</v>
      </c>
      <c r="F351" s="10">
        <v>40142</v>
      </c>
      <c r="G351" s="11">
        <v>14000</v>
      </c>
      <c r="H351" s="11">
        <v>14000</v>
      </c>
      <c r="I351" s="4" t="s">
        <v>23</v>
      </c>
      <c r="J351" s="4" t="s">
        <v>24</v>
      </c>
      <c r="K351" s="11">
        <v>0</v>
      </c>
      <c r="L351" s="4"/>
      <c r="M351" s="4"/>
      <c r="N351" s="11">
        <v>0</v>
      </c>
      <c r="O351" s="4"/>
      <c r="P351" s="4"/>
      <c r="Q351" s="11">
        <v>0</v>
      </c>
      <c r="R351" s="4"/>
      <c r="S351" s="12"/>
    </row>
    <row r="352" spans="1:19" x14ac:dyDescent="0.25">
      <c r="A352" s="9" t="s">
        <v>343</v>
      </c>
      <c r="B352" s="9" t="s">
        <v>291</v>
      </c>
      <c r="C352" s="4">
        <v>201001058</v>
      </c>
      <c r="D352" s="4"/>
      <c r="E352" s="4" t="str">
        <f>"020562010"</f>
        <v>020562010</v>
      </c>
      <c r="F352" s="10">
        <v>40157</v>
      </c>
      <c r="G352" s="11">
        <v>495065.23</v>
      </c>
      <c r="H352" s="11">
        <v>495065.23</v>
      </c>
      <c r="I352" s="4" t="s">
        <v>344</v>
      </c>
      <c r="J352" s="4" t="s">
        <v>345</v>
      </c>
      <c r="K352" s="11">
        <v>0</v>
      </c>
      <c r="L352" s="4"/>
      <c r="M352" s="4"/>
      <c r="N352" s="11">
        <v>0</v>
      </c>
      <c r="O352" s="4"/>
      <c r="P352" s="4"/>
      <c r="Q352" s="11">
        <v>0</v>
      </c>
      <c r="R352" s="4"/>
      <c r="S352" s="12"/>
    </row>
    <row r="353" spans="1:19" x14ac:dyDescent="0.25">
      <c r="A353" s="9" t="s">
        <v>346</v>
      </c>
      <c r="B353" s="9" t="s">
        <v>291</v>
      </c>
      <c r="C353" s="4">
        <v>201001995</v>
      </c>
      <c r="D353" s="4" t="s">
        <v>347</v>
      </c>
      <c r="E353" s="4" t="str">
        <f>"039002010"</f>
        <v>039002010</v>
      </c>
      <c r="F353" s="10">
        <v>40228</v>
      </c>
      <c r="G353" s="11">
        <v>7500</v>
      </c>
      <c r="H353" s="11">
        <v>7500</v>
      </c>
      <c r="I353" s="4" t="s">
        <v>38</v>
      </c>
      <c r="J353" s="4" t="s">
        <v>39</v>
      </c>
      <c r="K353" s="11">
        <v>0</v>
      </c>
      <c r="L353" s="4"/>
      <c r="M353" s="4"/>
      <c r="N353" s="11">
        <v>0</v>
      </c>
      <c r="O353" s="4"/>
      <c r="P353" s="4"/>
      <c r="Q353" s="11">
        <v>0</v>
      </c>
      <c r="R353" s="4"/>
      <c r="S353" s="12"/>
    </row>
    <row r="354" spans="1:19" x14ac:dyDescent="0.25">
      <c r="A354" s="9" t="s">
        <v>348</v>
      </c>
      <c r="B354" s="9" t="s">
        <v>291</v>
      </c>
      <c r="C354" s="4">
        <v>200905239</v>
      </c>
      <c r="D354" s="4" t="s">
        <v>349</v>
      </c>
      <c r="E354" s="4" t="str">
        <f>"087532009"</f>
        <v>087532009</v>
      </c>
      <c r="F354" s="10">
        <v>40092</v>
      </c>
      <c r="G354" s="11">
        <v>350</v>
      </c>
      <c r="H354" s="11">
        <v>0</v>
      </c>
      <c r="I354" s="4"/>
      <c r="J354" s="4"/>
      <c r="K354" s="11">
        <v>0</v>
      </c>
      <c r="L354" s="4"/>
      <c r="M354" s="4"/>
      <c r="N354" s="11">
        <v>350</v>
      </c>
      <c r="O354" s="4" t="s">
        <v>56</v>
      </c>
      <c r="P354" s="4" t="s">
        <v>57</v>
      </c>
      <c r="Q354" s="11">
        <v>0</v>
      </c>
      <c r="R354" s="4"/>
      <c r="S354" s="12"/>
    </row>
    <row r="355" spans="1:19" x14ac:dyDescent="0.25">
      <c r="A355" s="9" t="s">
        <v>348</v>
      </c>
      <c r="B355" s="9" t="s">
        <v>291</v>
      </c>
      <c r="C355" s="4">
        <v>200905882</v>
      </c>
      <c r="D355" s="4" t="s">
        <v>350</v>
      </c>
      <c r="E355" s="4" t="str">
        <f>"086462009"</f>
        <v>086462009</v>
      </c>
      <c r="F355" s="10">
        <v>40092</v>
      </c>
      <c r="G355" s="11">
        <v>350</v>
      </c>
      <c r="H355" s="11">
        <v>0</v>
      </c>
      <c r="I355" s="4"/>
      <c r="J355" s="4"/>
      <c r="K355" s="11">
        <v>0</v>
      </c>
      <c r="L355" s="4"/>
      <c r="M355" s="4"/>
      <c r="N355" s="11">
        <v>350</v>
      </c>
      <c r="O355" s="4" t="s">
        <v>56</v>
      </c>
      <c r="P355" s="4" t="s">
        <v>57</v>
      </c>
      <c r="Q355" s="11">
        <v>0</v>
      </c>
      <c r="R355" s="4"/>
      <c r="S355" s="12"/>
    </row>
    <row r="356" spans="1:19" x14ac:dyDescent="0.25">
      <c r="A356" s="9" t="s">
        <v>348</v>
      </c>
      <c r="B356" s="9" t="s">
        <v>291</v>
      </c>
      <c r="C356" s="4">
        <v>201000157</v>
      </c>
      <c r="D356" s="4" t="s">
        <v>351</v>
      </c>
      <c r="E356" s="4" t="str">
        <f>"003222010"</f>
        <v>003222010</v>
      </c>
      <c r="F356" s="10">
        <v>40101</v>
      </c>
      <c r="G356" s="11">
        <v>350</v>
      </c>
      <c r="H356" s="11">
        <v>0</v>
      </c>
      <c r="I356" s="4"/>
      <c r="J356" s="4"/>
      <c r="K356" s="11">
        <v>0</v>
      </c>
      <c r="L356" s="4"/>
      <c r="M356" s="4"/>
      <c r="N356" s="11">
        <v>350</v>
      </c>
      <c r="O356" s="4" t="s">
        <v>56</v>
      </c>
      <c r="P356" s="4" t="s">
        <v>57</v>
      </c>
      <c r="Q356" s="11">
        <v>0</v>
      </c>
      <c r="R356" s="4"/>
      <c r="S356" s="12"/>
    </row>
    <row r="357" spans="1:19" x14ac:dyDescent="0.25">
      <c r="A357" s="9" t="s">
        <v>348</v>
      </c>
      <c r="B357" s="9" t="s">
        <v>291</v>
      </c>
      <c r="C357" s="4">
        <v>201001514</v>
      </c>
      <c r="D357" s="4" t="s">
        <v>352</v>
      </c>
      <c r="E357" s="4" t="str">
        <f>"029142010"</f>
        <v>029142010</v>
      </c>
      <c r="F357" s="10">
        <v>40192</v>
      </c>
      <c r="G357" s="11">
        <v>350</v>
      </c>
      <c r="H357" s="11">
        <v>0</v>
      </c>
      <c r="I357" s="4"/>
      <c r="J357" s="4"/>
      <c r="K357" s="11">
        <v>0</v>
      </c>
      <c r="L357" s="4"/>
      <c r="M357" s="4"/>
      <c r="N357" s="11">
        <v>350</v>
      </c>
      <c r="O357" s="4" t="s">
        <v>56</v>
      </c>
      <c r="P357" s="4" t="s">
        <v>57</v>
      </c>
      <c r="Q357" s="11">
        <v>0</v>
      </c>
      <c r="R357" s="4"/>
      <c r="S357" s="12"/>
    </row>
    <row r="358" spans="1:19" x14ac:dyDescent="0.25">
      <c r="A358" s="9" t="s">
        <v>348</v>
      </c>
      <c r="B358" s="9" t="s">
        <v>291</v>
      </c>
      <c r="C358" s="4">
        <v>201002183</v>
      </c>
      <c r="D358" s="4" t="s">
        <v>353</v>
      </c>
      <c r="E358" s="4" t="str">
        <f>"045182010"</f>
        <v>045182010</v>
      </c>
      <c r="F358" s="10">
        <v>40246</v>
      </c>
      <c r="G358" s="11">
        <v>350</v>
      </c>
      <c r="H358" s="11">
        <v>0</v>
      </c>
      <c r="I358" s="4"/>
      <c r="J358" s="4"/>
      <c r="K358" s="11">
        <v>0</v>
      </c>
      <c r="L358" s="4"/>
      <c r="M358" s="4"/>
      <c r="N358" s="11">
        <v>350</v>
      </c>
      <c r="O358" s="4" t="s">
        <v>56</v>
      </c>
      <c r="P358" s="4" t="s">
        <v>57</v>
      </c>
      <c r="Q358" s="11">
        <v>0</v>
      </c>
      <c r="R358" s="4"/>
      <c r="S358" s="12"/>
    </row>
    <row r="359" spans="1:19" x14ac:dyDescent="0.25">
      <c r="A359" s="9" t="s">
        <v>348</v>
      </c>
      <c r="B359" s="9" t="s">
        <v>291</v>
      </c>
      <c r="C359" s="4">
        <v>201004364</v>
      </c>
      <c r="D359" s="4"/>
      <c r="E359" s="4" t="str">
        <f>"086702010"</f>
        <v>086702010</v>
      </c>
      <c r="F359" s="10">
        <v>40358</v>
      </c>
      <c r="G359" s="11">
        <v>27.2</v>
      </c>
      <c r="H359" s="11">
        <v>0</v>
      </c>
      <c r="I359" s="4"/>
      <c r="J359" s="4"/>
      <c r="K359" s="11">
        <v>0</v>
      </c>
      <c r="L359" s="4"/>
      <c r="M359" s="4"/>
      <c r="N359" s="11">
        <v>27.2</v>
      </c>
      <c r="O359" s="4" t="s">
        <v>56</v>
      </c>
      <c r="P359" s="4" t="s">
        <v>57</v>
      </c>
      <c r="Q359" s="11">
        <v>0</v>
      </c>
      <c r="R359" s="4"/>
      <c r="S359" s="12"/>
    </row>
    <row r="360" spans="1:19" x14ac:dyDescent="0.25">
      <c r="A360" s="9" t="s">
        <v>348</v>
      </c>
      <c r="B360" s="9" t="s">
        <v>291</v>
      </c>
      <c r="C360" s="4">
        <v>201005530</v>
      </c>
      <c r="D360" s="4" t="s">
        <v>354</v>
      </c>
      <c r="E360" s="4" t="str">
        <f>"109852010"</f>
        <v>109852010</v>
      </c>
      <c r="F360" s="10">
        <v>40431</v>
      </c>
      <c r="G360" s="11">
        <v>353</v>
      </c>
      <c r="H360" s="11">
        <v>0</v>
      </c>
      <c r="I360" s="4"/>
      <c r="J360" s="4"/>
      <c r="K360" s="11">
        <v>0</v>
      </c>
      <c r="L360" s="4"/>
      <c r="M360" s="4"/>
      <c r="N360" s="11">
        <v>353</v>
      </c>
      <c r="O360" s="4" t="s">
        <v>56</v>
      </c>
      <c r="P360" s="4" t="s">
        <v>57</v>
      </c>
      <c r="Q360" s="11">
        <v>0</v>
      </c>
      <c r="R360" s="4"/>
      <c r="S360" s="12"/>
    </row>
    <row r="361" spans="1:19" x14ac:dyDescent="0.25">
      <c r="A361" s="9" t="s">
        <v>348</v>
      </c>
      <c r="B361" s="9" t="s">
        <v>291</v>
      </c>
      <c r="C361" s="4">
        <v>201005601</v>
      </c>
      <c r="D361" s="4" t="s">
        <v>355</v>
      </c>
      <c r="E361" s="4" t="str">
        <f>"111942010"</f>
        <v>111942010</v>
      </c>
      <c r="F361" s="10">
        <v>40443</v>
      </c>
      <c r="G361" s="11">
        <v>350</v>
      </c>
      <c r="H361" s="11">
        <v>0</v>
      </c>
      <c r="I361" s="4"/>
      <c r="J361" s="4"/>
      <c r="K361" s="11">
        <v>0</v>
      </c>
      <c r="L361" s="4"/>
      <c r="M361" s="4"/>
      <c r="N361" s="11">
        <v>350</v>
      </c>
      <c r="O361" s="4" t="s">
        <v>56</v>
      </c>
      <c r="P361" s="4" t="s">
        <v>57</v>
      </c>
      <c r="Q361" s="11">
        <v>0</v>
      </c>
      <c r="R361" s="4"/>
      <c r="S361" s="12"/>
    </row>
    <row r="362" spans="1:19" x14ac:dyDescent="0.25">
      <c r="A362" s="9" t="s">
        <v>356</v>
      </c>
      <c r="B362" s="9" t="s">
        <v>291</v>
      </c>
      <c r="C362" s="4">
        <v>201000114</v>
      </c>
      <c r="D362" s="4" t="s">
        <v>357</v>
      </c>
      <c r="E362" s="4" t="str">
        <f>"005612010"</f>
        <v>005612010</v>
      </c>
      <c r="F362" s="10">
        <v>40109</v>
      </c>
      <c r="G362" s="11">
        <v>2500</v>
      </c>
      <c r="H362" s="11">
        <v>0</v>
      </c>
      <c r="I362" s="4"/>
      <c r="J362" s="4"/>
      <c r="K362" s="11">
        <v>0</v>
      </c>
      <c r="L362" s="4"/>
      <c r="M362" s="4"/>
      <c r="N362" s="11">
        <v>2500</v>
      </c>
      <c r="O362" s="4" t="s">
        <v>56</v>
      </c>
      <c r="P362" s="4" t="s">
        <v>57</v>
      </c>
      <c r="Q362" s="11">
        <v>0</v>
      </c>
      <c r="R362" s="4"/>
      <c r="S362" s="12"/>
    </row>
    <row r="363" spans="1:19" x14ac:dyDescent="0.25">
      <c r="A363" s="9" t="s">
        <v>356</v>
      </c>
      <c r="B363" s="9" t="s">
        <v>291</v>
      </c>
      <c r="C363" s="4">
        <v>201002502</v>
      </c>
      <c r="D363" s="4" t="s">
        <v>358</v>
      </c>
      <c r="E363" s="4" t="str">
        <f>"049502010"</f>
        <v>049502010</v>
      </c>
      <c r="F363" s="10">
        <v>40262</v>
      </c>
      <c r="G363" s="11">
        <v>30000</v>
      </c>
      <c r="H363" s="11">
        <v>30000</v>
      </c>
      <c r="I363" s="4" t="s">
        <v>30</v>
      </c>
      <c r="J363" s="4" t="s">
        <v>31</v>
      </c>
      <c r="K363" s="11">
        <v>0</v>
      </c>
      <c r="L363" s="4"/>
      <c r="M363" s="4"/>
      <c r="N363" s="11">
        <v>0</v>
      </c>
      <c r="O363" s="4"/>
      <c r="P363" s="4"/>
      <c r="Q363" s="11">
        <v>0</v>
      </c>
      <c r="R363" s="4"/>
      <c r="S363" s="12"/>
    </row>
    <row r="364" spans="1:19" x14ac:dyDescent="0.25">
      <c r="A364" s="9" t="s">
        <v>356</v>
      </c>
      <c r="B364" s="9" t="s">
        <v>291</v>
      </c>
      <c r="C364" s="4">
        <v>201004725</v>
      </c>
      <c r="D364" s="4"/>
      <c r="E364" s="4" t="str">
        <f>"094702010"</f>
        <v>094702010</v>
      </c>
      <c r="F364" s="10">
        <v>40381</v>
      </c>
      <c r="G364" s="11">
        <v>728000</v>
      </c>
      <c r="H364" s="11">
        <v>728000</v>
      </c>
      <c r="I364" s="4" t="s">
        <v>142</v>
      </c>
      <c r="J364" s="4" t="s">
        <v>143</v>
      </c>
      <c r="K364" s="11">
        <v>0</v>
      </c>
      <c r="L364" s="4"/>
      <c r="M364" s="4"/>
      <c r="N364" s="11">
        <v>0</v>
      </c>
      <c r="O364" s="4"/>
      <c r="P364" s="4"/>
      <c r="Q364" s="11">
        <v>0</v>
      </c>
      <c r="R364" s="4"/>
      <c r="S364" s="12"/>
    </row>
    <row r="365" spans="1:19" x14ac:dyDescent="0.25">
      <c r="A365" s="9" t="s">
        <v>359</v>
      </c>
      <c r="B365" s="9" t="s">
        <v>291</v>
      </c>
      <c r="C365" s="4">
        <v>200905914</v>
      </c>
      <c r="D365" s="4" t="s">
        <v>360</v>
      </c>
      <c r="E365" s="4" t="str">
        <f>"088082009"</f>
        <v>088082009</v>
      </c>
      <c r="F365" s="10">
        <v>40100</v>
      </c>
      <c r="G365" s="11">
        <v>1700000</v>
      </c>
      <c r="H365" s="11">
        <v>1700000</v>
      </c>
      <c r="I365" s="4" t="s">
        <v>23</v>
      </c>
      <c r="J365" s="4" t="s">
        <v>24</v>
      </c>
      <c r="K365" s="11">
        <v>0</v>
      </c>
      <c r="L365" s="4"/>
      <c r="M365" s="4"/>
      <c r="N365" s="11">
        <v>0</v>
      </c>
      <c r="O365" s="4"/>
      <c r="P365" s="4"/>
      <c r="Q365" s="11">
        <v>0</v>
      </c>
      <c r="R365" s="4"/>
      <c r="S365" s="12"/>
    </row>
    <row r="366" spans="1:19" x14ac:dyDescent="0.25">
      <c r="A366" s="9" t="s">
        <v>359</v>
      </c>
      <c r="B366" s="9" t="s">
        <v>291</v>
      </c>
      <c r="C366" s="4">
        <v>200905935</v>
      </c>
      <c r="D366" s="4"/>
      <c r="E366" s="4" t="str">
        <f>"087022009"</f>
        <v>087022009</v>
      </c>
      <c r="F366" s="10">
        <v>40091</v>
      </c>
      <c r="G366" s="11">
        <v>1114.4000000000001</v>
      </c>
      <c r="H366" s="11">
        <v>1111.6300000000001</v>
      </c>
      <c r="I366" s="4" t="s">
        <v>142</v>
      </c>
      <c r="J366" s="4" t="s">
        <v>143</v>
      </c>
      <c r="K366" s="11">
        <v>0</v>
      </c>
      <c r="L366" s="4"/>
      <c r="M366" s="4"/>
      <c r="N366" s="11">
        <v>0</v>
      </c>
      <c r="O366" s="4"/>
      <c r="P366" s="4"/>
      <c r="Q366" s="11">
        <v>2.77</v>
      </c>
      <c r="R366" s="4" t="s">
        <v>142</v>
      </c>
      <c r="S366" s="12" t="s">
        <v>143</v>
      </c>
    </row>
    <row r="367" spans="1:19" x14ac:dyDescent="0.25">
      <c r="A367" s="9" t="s">
        <v>359</v>
      </c>
      <c r="B367" s="9" t="s">
        <v>291</v>
      </c>
      <c r="C367" s="4">
        <v>200905938</v>
      </c>
      <c r="D367" s="4"/>
      <c r="E367" s="4" t="str">
        <f>"087002009"</f>
        <v>087002009</v>
      </c>
      <c r="F367" s="10">
        <v>40091</v>
      </c>
      <c r="G367" s="11">
        <v>49447.45</v>
      </c>
      <c r="H367" s="11">
        <v>49324.69</v>
      </c>
      <c r="I367" s="4" t="s">
        <v>142</v>
      </c>
      <c r="J367" s="4" t="s">
        <v>143</v>
      </c>
      <c r="K367" s="11">
        <v>0</v>
      </c>
      <c r="L367" s="4"/>
      <c r="M367" s="4"/>
      <c r="N367" s="11">
        <v>0</v>
      </c>
      <c r="O367" s="4"/>
      <c r="P367" s="4"/>
      <c r="Q367" s="11">
        <v>122.76</v>
      </c>
      <c r="R367" s="4" t="s">
        <v>142</v>
      </c>
      <c r="S367" s="12" t="s">
        <v>143</v>
      </c>
    </row>
    <row r="368" spans="1:19" x14ac:dyDescent="0.25">
      <c r="A368" s="9" t="s">
        <v>359</v>
      </c>
      <c r="B368" s="9" t="s">
        <v>291</v>
      </c>
      <c r="C368" s="4">
        <v>201000084</v>
      </c>
      <c r="D368" s="4" t="s">
        <v>361</v>
      </c>
      <c r="E368" s="4" t="str">
        <f>"001322010"</f>
        <v>001322010</v>
      </c>
      <c r="F368" s="10">
        <v>40094</v>
      </c>
      <c r="G368" s="11">
        <v>450000</v>
      </c>
      <c r="H368" s="11">
        <v>450000</v>
      </c>
      <c r="I368" s="4" t="s">
        <v>72</v>
      </c>
      <c r="J368" s="4" t="s">
        <v>73</v>
      </c>
      <c r="K368" s="11">
        <v>0</v>
      </c>
      <c r="L368" s="4"/>
      <c r="M368" s="4"/>
      <c r="N368" s="11">
        <v>0</v>
      </c>
      <c r="O368" s="4"/>
      <c r="P368" s="4"/>
      <c r="Q368" s="11">
        <v>0</v>
      </c>
      <c r="R368" s="4"/>
      <c r="S368" s="12"/>
    </row>
    <row r="369" spans="1:19" x14ac:dyDescent="0.25">
      <c r="A369" s="9" t="s">
        <v>359</v>
      </c>
      <c r="B369" s="9" t="s">
        <v>291</v>
      </c>
      <c r="C369" s="4">
        <v>201000086</v>
      </c>
      <c r="D369" s="4" t="s">
        <v>362</v>
      </c>
      <c r="E369" s="4" t="str">
        <f>"001882010"</f>
        <v>001882010</v>
      </c>
      <c r="F369" s="10">
        <v>40094</v>
      </c>
      <c r="G369" s="11">
        <v>45000</v>
      </c>
      <c r="H369" s="11">
        <v>45000</v>
      </c>
      <c r="I369" s="4" t="s">
        <v>72</v>
      </c>
      <c r="J369" s="4" t="s">
        <v>73</v>
      </c>
      <c r="K369" s="11">
        <v>0</v>
      </c>
      <c r="L369" s="4"/>
      <c r="M369" s="4"/>
      <c r="N369" s="11">
        <v>0</v>
      </c>
      <c r="O369" s="4"/>
      <c r="P369" s="4"/>
      <c r="Q369" s="11">
        <v>0</v>
      </c>
      <c r="R369" s="4"/>
      <c r="S369" s="12"/>
    </row>
    <row r="370" spans="1:19" x14ac:dyDescent="0.25">
      <c r="A370" s="9" t="s">
        <v>359</v>
      </c>
      <c r="B370" s="9" t="s">
        <v>291</v>
      </c>
      <c r="C370" s="4">
        <v>201000206</v>
      </c>
      <c r="D370" s="4" t="s">
        <v>363</v>
      </c>
      <c r="E370" s="4" t="str">
        <f>"004732010"</f>
        <v>004732010</v>
      </c>
      <c r="F370" s="10">
        <v>40106</v>
      </c>
      <c r="G370" s="11">
        <v>2500000</v>
      </c>
      <c r="H370" s="11">
        <v>2500000</v>
      </c>
      <c r="I370" s="4" t="s">
        <v>23</v>
      </c>
      <c r="J370" s="4" t="s">
        <v>24</v>
      </c>
      <c r="K370" s="11">
        <v>0</v>
      </c>
      <c r="L370" s="4"/>
      <c r="M370" s="4"/>
      <c r="N370" s="11">
        <v>0</v>
      </c>
      <c r="O370" s="4"/>
      <c r="P370" s="4"/>
      <c r="Q370" s="11">
        <v>0</v>
      </c>
      <c r="R370" s="4"/>
      <c r="S370" s="12"/>
    </row>
    <row r="371" spans="1:19" x14ac:dyDescent="0.25">
      <c r="A371" s="9" t="s">
        <v>359</v>
      </c>
      <c r="B371" s="9" t="s">
        <v>291</v>
      </c>
      <c r="C371" s="4">
        <v>201000231</v>
      </c>
      <c r="D371" s="4" t="s">
        <v>364</v>
      </c>
      <c r="E371" s="4" t="str">
        <f>"003962010"</f>
        <v>003962010</v>
      </c>
      <c r="F371" s="10">
        <v>40102</v>
      </c>
      <c r="G371" s="11">
        <v>14000</v>
      </c>
      <c r="H371" s="11">
        <v>14000</v>
      </c>
      <c r="I371" s="4" t="s">
        <v>23</v>
      </c>
      <c r="J371" s="4" t="s">
        <v>24</v>
      </c>
      <c r="K371" s="11">
        <v>0</v>
      </c>
      <c r="L371" s="4"/>
      <c r="M371" s="4"/>
      <c r="N371" s="11">
        <v>0</v>
      </c>
      <c r="O371" s="4"/>
      <c r="P371" s="4"/>
      <c r="Q371" s="11">
        <v>0</v>
      </c>
      <c r="R371" s="4"/>
      <c r="S371" s="12"/>
    </row>
    <row r="372" spans="1:19" x14ac:dyDescent="0.25">
      <c r="A372" s="9" t="s">
        <v>359</v>
      </c>
      <c r="B372" s="9" t="s">
        <v>291</v>
      </c>
      <c r="C372" s="4">
        <v>201000237</v>
      </c>
      <c r="D372" s="4" t="s">
        <v>365</v>
      </c>
      <c r="E372" s="4" t="str">
        <f>"004102010"</f>
        <v>004102010</v>
      </c>
      <c r="F372" s="10">
        <v>40105</v>
      </c>
      <c r="G372" s="11">
        <v>5000</v>
      </c>
      <c r="H372" s="11">
        <v>5000</v>
      </c>
      <c r="I372" s="4" t="s">
        <v>366</v>
      </c>
      <c r="J372" s="4" t="s">
        <v>367</v>
      </c>
      <c r="K372" s="11">
        <v>0</v>
      </c>
      <c r="L372" s="4"/>
      <c r="M372" s="4"/>
      <c r="N372" s="11">
        <v>0</v>
      </c>
      <c r="O372" s="4"/>
      <c r="P372" s="4"/>
      <c r="Q372" s="11">
        <v>0</v>
      </c>
      <c r="R372" s="4"/>
      <c r="S372" s="12"/>
    </row>
    <row r="373" spans="1:19" x14ac:dyDescent="0.25">
      <c r="A373" s="9" t="s">
        <v>359</v>
      </c>
      <c r="B373" s="9" t="s">
        <v>291</v>
      </c>
      <c r="C373" s="4">
        <v>201000281</v>
      </c>
      <c r="D373" s="4"/>
      <c r="E373" s="4" t="str">
        <f>"010592010"</f>
        <v>010592010</v>
      </c>
      <c r="F373" s="10">
        <v>40126</v>
      </c>
      <c r="G373" s="11">
        <v>37500</v>
      </c>
      <c r="H373" s="11">
        <v>37500</v>
      </c>
      <c r="I373" s="4" t="s">
        <v>30</v>
      </c>
      <c r="J373" s="4" t="s">
        <v>31</v>
      </c>
      <c r="K373" s="11">
        <v>0</v>
      </c>
      <c r="L373" s="4"/>
      <c r="M373" s="4"/>
      <c r="N373" s="11">
        <v>0</v>
      </c>
      <c r="O373" s="4"/>
      <c r="P373" s="4"/>
      <c r="Q373" s="11">
        <v>0</v>
      </c>
      <c r="R373" s="4"/>
      <c r="S373" s="12"/>
    </row>
    <row r="374" spans="1:19" x14ac:dyDescent="0.25">
      <c r="A374" s="9" t="s">
        <v>359</v>
      </c>
      <c r="B374" s="9" t="s">
        <v>291</v>
      </c>
      <c r="C374" s="4">
        <v>201000314</v>
      </c>
      <c r="D374" s="4" t="s">
        <v>368</v>
      </c>
      <c r="E374" s="4" t="str">
        <f>"005992010"</f>
        <v>005992010</v>
      </c>
      <c r="F374" s="10">
        <v>40112</v>
      </c>
      <c r="G374" s="11">
        <v>32500</v>
      </c>
      <c r="H374" s="11">
        <v>32500</v>
      </c>
      <c r="I374" s="4" t="s">
        <v>369</v>
      </c>
      <c r="J374" s="4" t="s">
        <v>370</v>
      </c>
      <c r="K374" s="11">
        <v>0</v>
      </c>
      <c r="L374" s="4"/>
      <c r="M374" s="4"/>
      <c r="N374" s="11">
        <v>0</v>
      </c>
      <c r="O374" s="4"/>
      <c r="P374" s="4"/>
      <c r="Q374" s="11">
        <v>0</v>
      </c>
      <c r="R374" s="4"/>
      <c r="S374" s="12"/>
    </row>
    <row r="375" spans="1:19" x14ac:dyDescent="0.25">
      <c r="A375" s="9" t="s">
        <v>359</v>
      </c>
      <c r="B375" s="9" t="s">
        <v>291</v>
      </c>
      <c r="C375" s="4">
        <v>201000360</v>
      </c>
      <c r="D375" s="4" t="s">
        <v>371</v>
      </c>
      <c r="E375" s="4" t="str">
        <f>"006972010"</f>
        <v>006972010</v>
      </c>
      <c r="F375" s="10">
        <v>40115</v>
      </c>
      <c r="G375" s="11">
        <v>565000</v>
      </c>
      <c r="H375" s="11">
        <v>565000</v>
      </c>
      <c r="I375" s="4" t="s">
        <v>72</v>
      </c>
      <c r="J375" s="4" t="s">
        <v>73</v>
      </c>
      <c r="K375" s="11">
        <v>0</v>
      </c>
      <c r="L375" s="4"/>
      <c r="M375" s="4"/>
      <c r="N375" s="11">
        <v>0</v>
      </c>
      <c r="O375" s="4"/>
      <c r="P375" s="4"/>
      <c r="Q375" s="11">
        <v>0</v>
      </c>
      <c r="R375" s="4"/>
      <c r="S375" s="12"/>
    </row>
    <row r="376" spans="1:19" x14ac:dyDescent="0.25">
      <c r="A376" s="9" t="s">
        <v>359</v>
      </c>
      <c r="B376" s="9" t="s">
        <v>291</v>
      </c>
      <c r="C376" s="4">
        <v>201000388</v>
      </c>
      <c r="D376" s="4" t="s">
        <v>372</v>
      </c>
      <c r="E376" s="4" t="str">
        <f>"015262010"</f>
        <v>015262010</v>
      </c>
      <c r="F376" s="10">
        <v>40142</v>
      </c>
      <c r="G376" s="11">
        <v>162500</v>
      </c>
      <c r="H376" s="11">
        <v>162500</v>
      </c>
      <c r="I376" s="4" t="s">
        <v>72</v>
      </c>
      <c r="J376" s="4" t="s">
        <v>73</v>
      </c>
      <c r="K376" s="11">
        <v>0</v>
      </c>
      <c r="L376" s="4"/>
      <c r="M376" s="4"/>
      <c r="N376" s="11">
        <v>0</v>
      </c>
      <c r="O376" s="4"/>
      <c r="P376" s="4"/>
      <c r="Q376" s="11">
        <v>0</v>
      </c>
      <c r="R376" s="4"/>
      <c r="S376" s="12"/>
    </row>
    <row r="377" spans="1:19" x14ac:dyDescent="0.25">
      <c r="A377" s="9" t="s">
        <v>359</v>
      </c>
      <c r="B377" s="9" t="s">
        <v>291</v>
      </c>
      <c r="C377" s="4">
        <v>201000423</v>
      </c>
      <c r="D377" s="4" t="s">
        <v>373</v>
      </c>
      <c r="E377" s="4" t="str">
        <f>"008312010"</f>
        <v>008312010</v>
      </c>
      <c r="F377" s="10">
        <v>40119</v>
      </c>
      <c r="G377" s="11">
        <v>950000</v>
      </c>
      <c r="H377" s="11">
        <v>950000</v>
      </c>
      <c r="I377" s="4" t="s">
        <v>72</v>
      </c>
      <c r="J377" s="4" t="s">
        <v>73</v>
      </c>
      <c r="K377" s="11">
        <v>0</v>
      </c>
      <c r="L377" s="4"/>
      <c r="M377" s="4"/>
      <c r="N377" s="11">
        <v>0</v>
      </c>
      <c r="O377" s="4"/>
      <c r="P377" s="4"/>
      <c r="Q377" s="11">
        <v>0</v>
      </c>
      <c r="R377" s="4"/>
      <c r="S377" s="12"/>
    </row>
    <row r="378" spans="1:19" x14ac:dyDescent="0.25">
      <c r="A378" s="9" t="s">
        <v>359</v>
      </c>
      <c r="B378" s="9" t="s">
        <v>291</v>
      </c>
      <c r="C378" s="4">
        <v>201000451</v>
      </c>
      <c r="D378" s="4" t="s">
        <v>374</v>
      </c>
      <c r="E378" s="4" t="str">
        <f>"008252010"</f>
        <v>008252010</v>
      </c>
      <c r="F378" s="10">
        <v>40119</v>
      </c>
      <c r="G378" s="11">
        <v>950000</v>
      </c>
      <c r="H378" s="11">
        <v>950000</v>
      </c>
      <c r="I378" s="4" t="s">
        <v>72</v>
      </c>
      <c r="J378" s="4" t="s">
        <v>73</v>
      </c>
      <c r="K378" s="11">
        <v>0</v>
      </c>
      <c r="L378" s="4"/>
      <c r="M378" s="4"/>
      <c r="N378" s="11">
        <v>0</v>
      </c>
      <c r="O378" s="4"/>
      <c r="P378" s="4"/>
      <c r="Q378" s="11">
        <v>0</v>
      </c>
      <c r="R378" s="4"/>
      <c r="S378" s="12"/>
    </row>
    <row r="379" spans="1:19" x14ac:dyDescent="0.25">
      <c r="A379" s="9" t="s">
        <v>359</v>
      </c>
      <c r="B379" s="9" t="s">
        <v>291</v>
      </c>
      <c r="C379" s="4">
        <v>201000465</v>
      </c>
      <c r="D379" s="4" t="s">
        <v>375</v>
      </c>
      <c r="E379" s="4" t="str">
        <f>"008732010"</f>
        <v>008732010</v>
      </c>
      <c r="F379" s="10">
        <v>40120</v>
      </c>
      <c r="G379" s="11">
        <v>13000</v>
      </c>
      <c r="H379" s="11">
        <v>13000</v>
      </c>
      <c r="I379" s="4" t="s">
        <v>88</v>
      </c>
      <c r="J379" s="4" t="s">
        <v>89</v>
      </c>
      <c r="K379" s="11">
        <v>0</v>
      </c>
      <c r="L379" s="4"/>
      <c r="M379" s="4"/>
      <c r="N379" s="11">
        <v>0</v>
      </c>
      <c r="O379" s="4"/>
      <c r="P379" s="4"/>
      <c r="Q379" s="11">
        <v>0</v>
      </c>
      <c r="R379" s="4"/>
      <c r="S379" s="12"/>
    </row>
    <row r="380" spans="1:19" x14ac:dyDescent="0.25">
      <c r="A380" s="9" t="s">
        <v>359</v>
      </c>
      <c r="B380" s="9" t="s">
        <v>291</v>
      </c>
      <c r="C380" s="4">
        <v>201000501</v>
      </c>
      <c r="D380" s="4" t="s">
        <v>376</v>
      </c>
      <c r="E380" s="4" t="str">
        <f>"010332010"</f>
        <v>010332010</v>
      </c>
      <c r="F380" s="10">
        <v>40126</v>
      </c>
      <c r="G380" s="11">
        <v>529.66</v>
      </c>
      <c r="H380" s="11">
        <v>400</v>
      </c>
      <c r="I380" s="4" t="s">
        <v>98</v>
      </c>
      <c r="J380" s="4" t="s">
        <v>99</v>
      </c>
      <c r="K380" s="11">
        <v>0</v>
      </c>
      <c r="L380" s="4"/>
      <c r="M380" s="4"/>
      <c r="N380" s="11">
        <v>0</v>
      </c>
      <c r="O380" s="4"/>
      <c r="P380" s="4"/>
      <c r="Q380" s="11">
        <v>129.66</v>
      </c>
      <c r="R380" s="4" t="s">
        <v>98</v>
      </c>
      <c r="S380" s="12" t="s">
        <v>99</v>
      </c>
    </row>
    <row r="381" spans="1:19" x14ac:dyDescent="0.25">
      <c r="A381" s="9" t="s">
        <v>359</v>
      </c>
      <c r="B381" s="9" t="s">
        <v>291</v>
      </c>
      <c r="C381" s="4">
        <v>201000516</v>
      </c>
      <c r="D381" s="4" t="s">
        <v>377</v>
      </c>
      <c r="E381" s="4" t="str">
        <f>"010972010"</f>
        <v>010972010</v>
      </c>
      <c r="F381" s="10">
        <v>40129</v>
      </c>
      <c r="G381" s="11">
        <v>245000</v>
      </c>
      <c r="H381" s="11">
        <v>245000</v>
      </c>
      <c r="I381" s="4" t="s">
        <v>72</v>
      </c>
      <c r="J381" s="4" t="s">
        <v>73</v>
      </c>
      <c r="K381" s="11">
        <v>0</v>
      </c>
      <c r="L381" s="4"/>
      <c r="M381" s="4"/>
      <c r="N381" s="11">
        <v>0</v>
      </c>
      <c r="O381" s="4"/>
      <c r="P381" s="4"/>
      <c r="Q381" s="11">
        <v>0</v>
      </c>
      <c r="R381" s="4"/>
      <c r="S381" s="12"/>
    </row>
    <row r="382" spans="1:19" x14ac:dyDescent="0.25">
      <c r="A382" s="9" t="s">
        <v>359</v>
      </c>
      <c r="B382" s="9" t="s">
        <v>291</v>
      </c>
      <c r="C382" s="4">
        <v>201000648</v>
      </c>
      <c r="D382" s="4" t="s">
        <v>378</v>
      </c>
      <c r="E382" s="4" t="str">
        <f>"012672010"</f>
        <v>012672010</v>
      </c>
      <c r="F382" s="10">
        <v>40134</v>
      </c>
      <c r="G382" s="11">
        <v>421.2</v>
      </c>
      <c r="H382" s="11">
        <v>0</v>
      </c>
      <c r="I382" s="4"/>
      <c r="J382" s="4"/>
      <c r="K382" s="11">
        <v>0</v>
      </c>
      <c r="L382" s="4"/>
      <c r="M382" s="4"/>
      <c r="N382" s="11">
        <v>421.2</v>
      </c>
      <c r="O382" s="4" t="s">
        <v>56</v>
      </c>
      <c r="P382" s="4" t="s">
        <v>57</v>
      </c>
      <c r="Q382" s="11">
        <v>0</v>
      </c>
      <c r="R382" s="4"/>
      <c r="S382" s="12"/>
    </row>
    <row r="383" spans="1:19" x14ac:dyDescent="0.25">
      <c r="A383" s="9" t="s">
        <v>359</v>
      </c>
      <c r="B383" s="9" t="s">
        <v>291</v>
      </c>
      <c r="C383" s="4">
        <v>201000802</v>
      </c>
      <c r="D383" s="4" t="s">
        <v>379</v>
      </c>
      <c r="E383" s="4" t="str">
        <f>"015482010"</f>
        <v>015482010</v>
      </c>
      <c r="F383" s="10">
        <v>40142</v>
      </c>
      <c r="G383" s="11">
        <v>9500</v>
      </c>
      <c r="H383" s="11">
        <v>9500</v>
      </c>
      <c r="I383" s="4" t="s">
        <v>23</v>
      </c>
      <c r="J383" s="4" t="s">
        <v>24</v>
      </c>
      <c r="K383" s="11">
        <v>0</v>
      </c>
      <c r="L383" s="4"/>
      <c r="M383" s="4"/>
      <c r="N383" s="11">
        <v>0</v>
      </c>
      <c r="O383" s="4"/>
      <c r="P383" s="4"/>
      <c r="Q383" s="11">
        <v>0</v>
      </c>
      <c r="R383" s="4"/>
      <c r="S383" s="12"/>
    </row>
    <row r="384" spans="1:19" x14ac:dyDescent="0.25">
      <c r="A384" s="9" t="s">
        <v>359</v>
      </c>
      <c r="B384" s="9" t="s">
        <v>291</v>
      </c>
      <c r="C384" s="4">
        <v>201000842</v>
      </c>
      <c r="D384" s="4" t="s">
        <v>380</v>
      </c>
      <c r="E384" s="4" t="str">
        <f>"022512010"</f>
        <v>022512010</v>
      </c>
      <c r="F384" s="10">
        <v>40164</v>
      </c>
      <c r="G384" s="11">
        <v>21907.58</v>
      </c>
      <c r="H384" s="11">
        <v>21907.58</v>
      </c>
      <c r="I384" s="4" t="s">
        <v>23</v>
      </c>
      <c r="J384" s="4" t="s">
        <v>24</v>
      </c>
      <c r="K384" s="11">
        <v>0</v>
      </c>
      <c r="L384" s="4"/>
      <c r="M384" s="4"/>
      <c r="N384" s="11">
        <v>0</v>
      </c>
      <c r="O384" s="4"/>
      <c r="P384" s="4"/>
      <c r="Q384" s="11">
        <v>0</v>
      </c>
      <c r="R384" s="4"/>
      <c r="S384" s="12"/>
    </row>
    <row r="385" spans="1:19" x14ac:dyDescent="0.25">
      <c r="A385" s="9" t="s">
        <v>359</v>
      </c>
      <c r="B385" s="9" t="s">
        <v>291</v>
      </c>
      <c r="C385" s="4">
        <v>201000845</v>
      </c>
      <c r="D385" s="4" t="s">
        <v>381</v>
      </c>
      <c r="E385" s="4" t="str">
        <f>"016392010"</f>
        <v>016392010</v>
      </c>
      <c r="F385" s="10">
        <v>40149</v>
      </c>
      <c r="G385" s="11">
        <v>650000</v>
      </c>
      <c r="H385" s="11">
        <v>650000</v>
      </c>
      <c r="I385" s="4" t="s">
        <v>23</v>
      </c>
      <c r="J385" s="4" t="s">
        <v>24</v>
      </c>
      <c r="K385" s="11">
        <v>0</v>
      </c>
      <c r="L385" s="4"/>
      <c r="M385" s="4"/>
      <c r="N385" s="11">
        <v>0</v>
      </c>
      <c r="O385" s="4"/>
      <c r="P385" s="4"/>
      <c r="Q385" s="11">
        <v>0</v>
      </c>
      <c r="R385" s="4"/>
      <c r="S385" s="12"/>
    </row>
    <row r="386" spans="1:19" x14ac:dyDescent="0.25">
      <c r="A386" s="9" t="s">
        <v>359</v>
      </c>
      <c r="B386" s="9" t="s">
        <v>291</v>
      </c>
      <c r="C386" s="4">
        <v>201000860</v>
      </c>
      <c r="D386" s="4" t="s">
        <v>382</v>
      </c>
      <c r="E386" s="4" t="str">
        <f>"016672010"</f>
        <v>016672010</v>
      </c>
      <c r="F386" s="10">
        <v>40150</v>
      </c>
      <c r="G386" s="11">
        <v>1000000</v>
      </c>
      <c r="H386" s="11">
        <v>1000000</v>
      </c>
      <c r="I386" s="4" t="s">
        <v>72</v>
      </c>
      <c r="J386" s="4" t="s">
        <v>73</v>
      </c>
      <c r="K386" s="11">
        <v>0</v>
      </c>
      <c r="L386" s="4"/>
      <c r="M386" s="4"/>
      <c r="N386" s="11">
        <v>0</v>
      </c>
      <c r="O386" s="4"/>
      <c r="P386" s="4"/>
      <c r="Q386" s="11">
        <v>0</v>
      </c>
      <c r="R386" s="4"/>
      <c r="S386" s="12"/>
    </row>
    <row r="387" spans="1:19" x14ac:dyDescent="0.25">
      <c r="A387" s="9" t="s">
        <v>359</v>
      </c>
      <c r="B387" s="9" t="s">
        <v>291</v>
      </c>
      <c r="C387" s="4">
        <v>201000864</v>
      </c>
      <c r="D387" s="4" t="s">
        <v>383</v>
      </c>
      <c r="E387" s="4" t="str">
        <f>"017222010"</f>
        <v>017222010</v>
      </c>
      <c r="F387" s="10">
        <v>40149</v>
      </c>
      <c r="G387" s="11">
        <v>3000000</v>
      </c>
      <c r="H387" s="11">
        <v>3000000</v>
      </c>
      <c r="I387" s="4" t="s">
        <v>38</v>
      </c>
      <c r="J387" s="4" t="s">
        <v>39</v>
      </c>
      <c r="K387" s="11">
        <v>0</v>
      </c>
      <c r="L387" s="4"/>
      <c r="M387" s="4"/>
      <c r="N387" s="11">
        <v>0</v>
      </c>
      <c r="O387" s="4"/>
      <c r="P387" s="4"/>
      <c r="Q387" s="11">
        <v>0</v>
      </c>
      <c r="R387" s="4"/>
      <c r="S387" s="12"/>
    </row>
    <row r="388" spans="1:19" x14ac:dyDescent="0.25">
      <c r="A388" s="9" t="s">
        <v>359</v>
      </c>
      <c r="B388" s="9" t="s">
        <v>291</v>
      </c>
      <c r="C388" s="4">
        <v>201000902</v>
      </c>
      <c r="D388" s="4"/>
      <c r="E388" s="4" t="str">
        <f>"017622010"</f>
        <v>017622010</v>
      </c>
      <c r="F388" s="10">
        <v>40150</v>
      </c>
      <c r="G388" s="11">
        <v>15000</v>
      </c>
      <c r="H388" s="11">
        <v>15000</v>
      </c>
      <c r="I388" s="4" t="s">
        <v>23</v>
      </c>
      <c r="J388" s="4" t="s">
        <v>24</v>
      </c>
      <c r="K388" s="11">
        <v>0</v>
      </c>
      <c r="L388" s="4"/>
      <c r="M388" s="4"/>
      <c r="N388" s="11">
        <v>0</v>
      </c>
      <c r="O388" s="4"/>
      <c r="P388" s="4"/>
      <c r="Q388" s="11">
        <v>0</v>
      </c>
      <c r="R388" s="4"/>
      <c r="S388" s="12"/>
    </row>
    <row r="389" spans="1:19" x14ac:dyDescent="0.25">
      <c r="A389" s="9" t="s">
        <v>359</v>
      </c>
      <c r="B389" s="9" t="s">
        <v>291</v>
      </c>
      <c r="C389" s="4">
        <v>201000963</v>
      </c>
      <c r="D389" s="4"/>
      <c r="E389" s="4" t="str">
        <f>"018652010"</f>
        <v>018652010</v>
      </c>
      <c r="F389" s="10">
        <v>40154</v>
      </c>
      <c r="G389" s="11">
        <v>162500</v>
      </c>
      <c r="H389" s="11">
        <v>162500</v>
      </c>
      <c r="I389" s="4" t="s">
        <v>23</v>
      </c>
      <c r="J389" s="4" t="s">
        <v>24</v>
      </c>
      <c r="K389" s="11">
        <v>0</v>
      </c>
      <c r="L389" s="4"/>
      <c r="M389" s="4"/>
      <c r="N389" s="11">
        <v>0</v>
      </c>
      <c r="O389" s="4"/>
      <c r="P389" s="4"/>
      <c r="Q389" s="11">
        <v>0</v>
      </c>
      <c r="R389" s="4"/>
      <c r="S389" s="12"/>
    </row>
    <row r="390" spans="1:19" x14ac:dyDescent="0.25">
      <c r="A390" s="9" t="s">
        <v>359</v>
      </c>
      <c r="B390" s="9" t="s">
        <v>291</v>
      </c>
      <c r="C390" s="4">
        <v>201001365</v>
      </c>
      <c r="D390" s="4" t="s">
        <v>384</v>
      </c>
      <c r="E390" s="4" t="str">
        <f>"026632010"</f>
        <v>026632010</v>
      </c>
      <c r="F390" s="10">
        <v>40185</v>
      </c>
      <c r="G390" s="11">
        <v>12000</v>
      </c>
      <c r="H390" s="11">
        <v>12000</v>
      </c>
      <c r="I390" s="4" t="s">
        <v>23</v>
      </c>
      <c r="J390" s="4" t="s">
        <v>24</v>
      </c>
      <c r="K390" s="11">
        <v>0</v>
      </c>
      <c r="L390" s="4"/>
      <c r="M390" s="4"/>
      <c r="N390" s="11">
        <v>0</v>
      </c>
      <c r="O390" s="4"/>
      <c r="P390" s="4"/>
      <c r="Q390" s="11">
        <v>0</v>
      </c>
      <c r="R390" s="4"/>
      <c r="S390" s="12"/>
    </row>
    <row r="391" spans="1:19" x14ac:dyDescent="0.25">
      <c r="A391" s="9" t="s">
        <v>359</v>
      </c>
      <c r="B391" s="9" t="s">
        <v>291</v>
      </c>
      <c r="C391" s="4">
        <v>201001400</v>
      </c>
      <c r="D391" s="4" t="s">
        <v>385</v>
      </c>
      <c r="E391" s="4" t="str">
        <f>"027292010"</f>
        <v>027292010</v>
      </c>
      <c r="F391" s="10">
        <v>40185</v>
      </c>
      <c r="G391" s="11">
        <v>1750</v>
      </c>
      <c r="H391" s="11">
        <v>1750</v>
      </c>
      <c r="I391" s="4" t="s">
        <v>23</v>
      </c>
      <c r="J391" s="4" t="s">
        <v>24</v>
      </c>
      <c r="K391" s="11">
        <v>0</v>
      </c>
      <c r="L391" s="4"/>
      <c r="M391" s="4"/>
      <c r="N391" s="11">
        <v>0</v>
      </c>
      <c r="O391" s="4"/>
      <c r="P391" s="4"/>
      <c r="Q391" s="11">
        <v>0</v>
      </c>
      <c r="R391" s="4"/>
      <c r="S391" s="12"/>
    </row>
    <row r="392" spans="1:19" x14ac:dyDescent="0.25">
      <c r="A392" s="9" t="s">
        <v>359</v>
      </c>
      <c r="B392" s="9" t="s">
        <v>291</v>
      </c>
      <c r="C392" s="4">
        <v>201001423</v>
      </c>
      <c r="D392" s="4" t="s">
        <v>386</v>
      </c>
      <c r="E392" s="4" t="str">
        <f>"027452010"</f>
        <v>027452010</v>
      </c>
      <c r="F392" s="10">
        <v>40185</v>
      </c>
      <c r="G392" s="11">
        <v>100000</v>
      </c>
      <c r="H392" s="11">
        <v>100000</v>
      </c>
      <c r="I392" s="4" t="s">
        <v>72</v>
      </c>
      <c r="J392" s="4" t="s">
        <v>73</v>
      </c>
      <c r="K392" s="11">
        <v>0</v>
      </c>
      <c r="L392" s="4"/>
      <c r="M392" s="4"/>
      <c r="N392" s="11">
        <v>0</v>
      </c>
      <c r="O392" s="4"/>
      <c r="P392" s="4"/>
      <c r="Q392" s="11">
        <v>0</v>
      </c>
      <c r="R392" s="4"/>
      <c r="S392" s="12"/>
    </row>
    <row r="393" spans="1:19" x14ac:dyDescent="0.25">
      <c r="A393" s="9" t="s">
        <v>359</v>
      </c>
      <c r="B393" s="9" t="s">
        <v>291</v>
      </c>
      <c r="C393" s="4">
        <v>201001430</v>
      </c>
      <c r="D393" s="4" t="s">
        <v>387</v>
      </c>
      <c r="E393" s="4" t="str">
        <f>"027892010"</f>
        <v>027892010</v>
      </c>
      <c r="F393" s="10">
        <v>40185</v>
      </c>
      <c r="G393" s="11">
        <v>225000</v>
      </c>
      <c r="H393" s="11">
        <v>225000</v>
      </c>
      <c r="I393" s="4" t="s">
        <v>23</v>
      </c>
      <c r="J393" s="4" t="s">
        <v>24</v>
      </c>
      <c r="K393" s="11">
        <v>0</v>
      </c>
      <c r="L393" s="4"/>
      <c r="M393" s="4"/>
      <c r="N393" s="11">
        <v>0</v>
      </c>
      <c r="O393" s="4"/>
      <c r="P393" s="4"/>
      <c r="Q393" s="11">
        <v>0</v>
      </c>
      <c r="R393" s="4"/>
      <c r="S393" s="12"/>
    </row>
    <row r="394" spans="1:19" x14ac:dyDescent="0.25">
      <c r="A394" s="9" t="s">
        <v>359</v>
      </c>
      <c r="B394" s="9" t="s">
        <v>291</v>
      </c>
      <c r="C394" s="4">
        <v>201001555</v>
      </c>
      <c r="D394" s="4" t="s">
        <v>388</v>
      </c>
      <c r="E394" s="4" t="str">
        <f>"033462010"</f>
        <v>033462010</v>
      </c>
      <c r="F394" s="10">
        <v>40203</v>
      </c>
      <c r="G394" s="11">
        <v>340000</v>
      </c>
      <c r="H394" s="11">
        <v>340000</v>
      </c>
      <c r="I394" s="4" t="s">
        <v>72</v>
      </c>
      <c r="J394" s="4" t="s">
        <v>73</v>
      </c>
      <c r="K394" s="11">
        <v>0</v>
      </c>
      <c r="L394" s="4"/>
      <c r="M394" s="4"/>
      <c r="N394" s="11">
        <v>0</v>
      </c>
      <c r="O394" s="4"/>
      <c r="P394" s="4"/>
      <c r="Q394" s="11">
        <v>0</v>
      </c>
      <c r="R394" s="4"/>
      <c r="S394" s="12"/>
    </row>
    <row r="395" spans="1:19" x14ac:dyDescent="0.25">
      <c r="A395" s="9" t="s">
        <v>359</v>
      </c>
      <c r="B395" s="9" t="s">
        <v>291</v>
      </c>
      <c r="C395" s="4">
        <v>201001619</v>
      </c>
      <c r="D395" s="4"/>
      <c r="E395" s="4" t="str">
        <f>"033822010"</f>
        <v>033822010</v>
      </c>
      <c r="F395" s="10">
        <v>40203</v>
      </c>
      <c r="G395" s="11">
        <v>9057.2800000000007</v>
      </c>
      <c r="H395" s="11">
        <v>9057.2800000000007</v>
      </c>
      <c r="I395" s="4" t="s">
        <v>142</v>
      </c>
      <c r="J395" s="4" t="s">
        <v>143</v>
      </c>
      <c r="K395" s="11">
        <v>0</v>
      </c>
      <c r="L395" s="4"/>
      <c r="M395" s="4"/>
      <c r="N395" s="11">
        <v>0</v>
      </c>
      <c r="O395" s="4"/>
      <c r="P395" s="4"/>
      <c r="Q395" s="11">
        <v>0</v>
      </c>
      <c r="R395" s="4"/>
      <c r="S395" s="12"/>
    </row>
    <row r="396" spans="1:19" x14ac:dyDescent="0.25">
      <c r="A396" s="9" t="s">
        <v>359</v>
      </c>
      <c r="B396" s="9" t="s">
        <v>291</v>
      </c>
      <c r="C396" s="4">
        <v>201001876</v>
      </c>
      <c r="D396" s="4" t="s">
        <v>389</v>
      </c>
      <c r="E396" s="4" t="str">
        <f>"035982010"</f>
        <v>035982010</v>
      </c>
      <c r="F396" s="10">
        <v>40213</v>
      </c>
      <c r="G396" s="11">
        <v>25000</v>
      </c>
      <c r="H396" s="11">
        <v>25000</v>
      </c>
      <c r="I396" s="4" t="s">
        <v>30</v>
      </c>
      <c r="J396" s="4" t="s">
        <v>31</v>
      </c>
      <c r="K396" s="11">
        <v>0</v>
      </c>
      <c r="L396" s="4"/>
      <c r="M396" s="4"/>
      <c r="N396" s="11">
        <v>0</v>
      </c>
      <c r="O396" s="4"/>
      <c r="P396" s="4"/>
      <c r="Q396" s="11">
        <v>0</v>
      </c>
      <c r="R396" s="4"/>
      <c r="S396" s="12"/>
    </row>
    <row r="397" spans="1:19" x14ac:dyDescent="0.25">
      <c r="A397" s="9" t="s">
        <v>359</v>
      </c>
      <c r="B397" s="9" t="s">
        <v>291</v>
      </c>
      <c r="C397" s="4">
        <v>201002082</v>
      </c>
      <c r="D397" s="4" t="s">
        <v>390</v>
      </c>
      <c r="E397" s="4" t="str">
        <f>"043532010"</f>
        <v>043532010</v>
      </c>
      <c r="F397" s="10">
        <v>40241</v>
      </c>
      <c r="G397" s="11">
        <v>375000</v>
      </c>
      <c r="H397" s="11">
        <v>375000</v>
      </c>
      <c r="I397" s="4" t="s">
        <v>72</v>
      </c>
      <c r="J397" s="4" t="s">
        <v>73</v>
      </c>
      <c r="K397" s="11">
        <v>0</v>
      </c>
      <c r="L397" s="4"/>
      <c r="M397" s="4"/>
      <c r="N397" s="11">
        <v>0</v>
      </c>
      <c r="O397" s="4"/>
      <c r="P397" s="4"/>
      <c r="Q397" s="11">
        <v>0</v>
      </c>
      <c r="R397" s="4"/>
      <c r="S397" s="12"/>
    </row>
    <row r="398" spans="1:19" x14ac:dyDescent="0.25">
      <c r="A398" s="9" t="s">
        <v>359</v>
      </c>
      <c r="B398" s="9" t="s">
        <v>291</v>
      </c>
      <c r="C398" s="4">
        <v>201002170</v>
      </c>
      <c r="D398" s="4" t="s">
        <v>391</v>
      </c>
      <c r="E398" s="4" t="str">
        <f>"042452010"</f>
        <v>042452010</v>
      </c>
      <c r="F398" s="10">
        <v>40246</v>
      </c>
      <c r="G398" s="11">
        <v>15050</v>
      </c>
      <c r="H398" s="11">
        <v>11287.5</v>
      </c>
      <c r="I398" s="4" t="s">
        <v>23</v>
      </c>
      <c r="J398" s="4" t="s">
        <v>24</v>
      </c>
      <c r="K398" s="11">
        <v>3762.5</v>
      </c>
      <c r="L398" s="4" t="s">
        <v>23</v>
      </c>
      <c r="M398" s="4" t="s">
        <v>24</v>
      </c>
      <c r="N398" s="11">
        <v>0</v>
      </c>
      <c r="O398" s="4"/>
      <c r="P398" s="4"/>
      <c r="Q398" s="11">
        <v>0</v>
      </c>
      <c r="R398" s="4"/>
      <c r="S398" s="12"/>
    </row>
    <row r="399" spans="1:19" x14ac:dyDescent="0.25">
      <c r="A399" s="9" t="s">
        <v>359</v>
      </c>
      <c r="B399" s="9" t="s">
        <v>291</v>
      </c>
      <c r="C399" s="4">
        <v>201002203</v>
      </c>
      <c r="D399" s="4"/>
      <c r="E399" s="4" t="str">
        <f>"044702010"</f>
        <v>044702010</v>
      </c>
      <c r="F399" s="10">
        <v>40245</v>
      </c>
      <c r="G399" s="11">
        <v>400000</v>
      </c>
      <c r="H399" s="11">
        <v>400000</v>
      </c>
      <c r="I399" s="4" t="s">
        <v>98</v>
      </c>
      <c r="J399" s="4" t="s">
        <v>99</v>
      </c>
      <c r="K399" s="11">
        <v>0</v>
      </c>
      <c r="L399" s="4"/>
      <c r="M399" s="4"/>
      <c r="N399" s="11">
        <v>0</v>
      </c>
      <c r="O399" s="4"/>
      <c r="P399" s="4"/>
      <c r="Q399" s="11">
        <v>0</v>
      </c>
      <c r="R399" s="4"/>
      <c r="S399" s="12"/>
    </row>
    <row r="400" spans="1:19" x14ac:dyDescent="0.25">
      <c r="A400" s="9" t="s">
        <v>359</v>
      </c>
      <c r="B400" s="9" t="s">
        <v>291</v>
      </c>
      <c r="C400" s="4">
        <v>201002207</v>
      </c>
      <c r="D400" s="4"/>
      <c r="E400" s="4" t="str">
        <f>"045922010"</f>
        <v>045922010</v>
      </c>
      <c r="F400" s="10">
        <v>40249</v>
      </c>
      <c r="G400" s="11">
        <v>0</v>
      </c>
      <c r="H400" s="11">
        <v>790</v>
      </c>
      <c r="I400" s="4" t="s">
        <v>56</v>
      </c>
      <c r="J400" s="4" t="s">
        <v>57</v>
      </c>
      <c r="K400" s="11">
        <v>0</v>
      </c>
      <c r="L400" s="4"/>
      <c r="M400" s="4"/>
      <c r="N400" s="11">
        <v>0</v>
      </c>
      <c r="O400" s="4"/>
      <c r="P400" s="4"/>
      <c r="Q400" s="11">
        <v>0</v>
      </c>
      <c r="R400" s="4"/>
      <c r="S400" s="12"/>
    </row>
    <row r="401" spans="1:19" x14ac:dyDescent="0.25">
      <c r="A401" s="9" t="s">
        <v>359</v>
      </c>
      <c r="B401" s="9" t="s">
        <v>291</v>
      </c>
      <c r="C401" s="4">
        <v>201002481</v>
      </c>
      <c r="D401" s="4" t="s">
        <v>392</v>
      </c>
      <c r="E401" s="4" t="str">
        <f>"058732010"</f>
        <v>058732010</v>
      </c>
      <c r="F401" s="10">
        <v>40283</v>
      </c>
      <c r="G401" s="11">
        <v>225000</v>
      </c>
      <c r="H401" s="11">
        <v>225000</v>
      </c>
      <c r="I401" s="4" t="s">
        <v>23</v>
      </c>
      <c r="J401" s="4" t="s">
        <v>24</v>
      </c>
      <c r="K401" s="11">
        <v>0</v>
      </c>
      <c r="L401" s="4"/>
      <c r="M401" s="4"/>
      <c r="N401" s="11">
        <v>0</v>
      </c>
      <c r="O401" s="4"/>
      <c r="P401" s="4"/>
      <c r="Q401" s="11">
        <v>0</v>
      </c>
      <c r="R401" s="4"/>
      <c r="S401" s="12"/>
    </row>
    <row r="402" spans="1:19" x14ac:dyDescent="0.25">
      <c r="A402" s="9" t="s">
        <v>359</v>
      </c>
      <c r="B402" s="9" t="s">
        <v>291</v>
      </c>
      <c r="C402" s="4">
        <v>201002501</v>
      </c>
      <c r="D402" s="4" t="s">
        <v>393</v>
      </c>
      <c r="E402" s="4" t="str">
        <f>"050222010"</f>
        <v>050222010</v>
      </c>
      <c r="F402" s="10">
        <v>40262</v>
      </c>
      <c r="G402" s="11">
        <v>1335390.3500000001</v>
      </c>
      <c r="H402" s="11">
        <v>1320199.02</v>
      </c>
      <c r="I402" s="4" t="s">
        <v>394</v>
      </c>
      <c r="J402" s="4" t="s">
        <v>395</v>
      </c>
      <c r="K402" s="11">
        <v>0</v>
      </c>
      <c r="L402" s="4"/>
      <c r="M402" s="4"/>
      <c r="N402" s="11">
        <v>0</v>
      </c>
      <c r="O402" s="4"/>
      <c r="P402" s="4"/>
      <c r="Q402" s="11">
        <v>15191.33</v>
      </c>
      <c r="R402" s="4" t="s">
        <v>394</v>
      </c>
      <c r="S402" s="12" t="s">
        <v>395</v>
      </c>
    </row>
    <row r="403" spans="1:19" x14ac:dyDescent="0.25">
      <c r="A403" s="9" t="s">
        <v>359</v>
      </c>
      <c r="B403" s="9" t="s">
        <v>291</v>
      </c>
      <c r="C403" s="4">
        <v>201002827</v>
      </c>
      <c r="D403" s="4" t="s">
        <v>396</v>
      </c>
      <c r="E403" s="4" t="str">
        <f>"063722010"</f>
        <v>063722010</v>
      </c>
      <c r="F403" s="10">
        <v>40298</v>
      </c>
      <c r="G403" s="11">
        <v>1126</v>
      </c>
      <c r="H403" s="11">
        <v>1126</v>
      </c>
      <c r="I403" s="4" t="s">
        <v>23</v>
      </c>
      <c r="J403" s="4" t="s">
        <v>24</v>
      </c>
      <c r="K403" s="11">
        <v>0</v>
      </c>
      <c r="L403" s="4"/>
      <c r="M403" s="4"/>
      <c r="N403" s="11">
        <v>0</v>
      </c>
      <c r="O403" s="4"/>
      <c r="P403" s="4"/>
      <c r="Q403" s="11">
        <v>0</v>
      </c>
      <c r="R403" s="4"/>
      <c r="S403" s="12"/>
    </row>
    <row r="404" spans="1:19" x14ac:dyDescent="0.25">
      <c r="A404" s="9" t="s">
        <v>359</v>
      </c>
      <c r="B404" s="9" t="s">
        <v>291</v>
      </c>
      <c r="C404" s="4">
        <v>201002929</v>
      </c>
      <c r="D404" s="4" t="s">
        <v>397</v>
      </c>
      <c r="E404" s="4" t="str">
        <f>"058672010"</f>
        <v>058672010</v>
      </c>
      <c r="F404" s="10">
        <v>40283</v>
      </c>
      <c r="G404" s="11">
        <v>185000</v>
      </c>
      <c r="H404" s="11">
        <v>0</v>
      </c>
      <c r="I404" s="4"/>
      <c r="J404" s="4"/>
      <c r="K404" s="11">
        <v>185000</v>
      </c>
      <c r="L404" s="4" t="s">
        <v>30</v>
      </c>
      <c r="M404" s="4" t="s">
        <v>31</v>
      </c>
      <c r="N404" s="11">
        <v>0</v>
      </c>
      <c r="O404" s="4"/>
      <c r="P404" s="4"/>
      <c r="Q404" s="11">
        <v>0</v>
      </c>
      <c r="R404" s="4"/>
      <c r="S404" s="12"/>
    </row>
    <row r="405" spans="1:19" x14ac:dyDescent="0.25">
      <c r="A405" s="9" t="s">
        <v>359</v>
      </c>
      <c r="B405" s="9" t="s">
        <v>291</v>
      </c>
      <c r="C405" s="4">
        <v>201003084</v>
      </c>
      <c r="D405" s="4"/>
      <c r="E405" s="4" t="str">
        <f>"063522010"</f>
        <v>063522010</v>
      </c>
      <c r="F405" s="10">
        <v>40297</v>
      </c>
      <c r="G405" s="11">
        <v>706800.48</v>
      </c>
      <c r="H405" s="11">
        <v>698399.78</v>
      </c>
      <c r="I405" s="4" t="s">
        <v>142</v>
      </c>
      <c r="J405" s="4" t="s">
        <v>143</v>
      </c>
      <c r="K405" s="11">
        <v>0</v>
      </c>
      <c r="L405" s="4"/>
      <c r="M405" s="4"/>
      <c r="N405" s="11">
        <v>0</v>
      </c>
      <c r="O405" s="4"/>
      <c r="P405" s="4"/>
      <c r="Q405" s="11">
        <v>8400.7000000000007</v>
      </c>
      <c r="R405" s="4" t="s">
        <v>142</v>
      </c>
      <c r="S405" s="12" t="s">
        <v>143</v>
      </c>
    </row>
    <row r="406" spans="1:19" x14ac:dyDescent="0.25">
      <c r="A406" s="9" t="s">
        <v>359</v>
      </c>
      <c r="B406" s="9" t="s">
        <v>291</v>
      </c>
      <c r="C406" s="4">
        <v>201003085</v>
      </c>
      <c r="D406" s="4"/>
      <c r="E406" s="4" t="str">
        <f>"063502010"</f>
        <v>063502010</v>
      </c>
      <c r="F406" s="10">
        <v>40297</v>
      </c>
      <c r="G406" s="11">
        <v>298318.46999999997</v>
      </c>
      <c r="H406" s="11">
        <v>296173.69</v>
      </c>
      <c r="I406" s="4" t="s">
        <v>142</v>
      </c>
      <c r="J406" s="4" t="s">
        <v>143</v>
      </c>
      <c r="K406" s="11">
        <v>0</v>
      </c>
      <c r="L406" s="4"/>
      <c r="M406" s="4"/>
      <c r="N406" s="11">
        <v>0</v>
      </c>
      <c r="O406" s="4"/>
      <c r="P406" s="4"/>
      <c r="Q406" s="11">
        <v>2144.7800000000002</v>
      </c>
      <c r="R406" s="4" t="s">
        <v>142</v>
      </c>
      <c r="S406" s="12" t="s">
        <v>143</v>
      </c>
    </row>
    <row r="407" spans="1:19" x14ac:dyDescent="0.25">
      <c r="A407" s="9" t="s">
        <v>359</v>
      </c>
      <c r="B407" s="9" t="s">
        <v>291</v>
      </c>
      <c r="C407" s="4">
        <v>201003180</v>
      </c>
      <c r="D407" s="4" t="s">
        <v>398</v>
      </c>
      <c r="E407" s="4" t="str">
        <f>"072992010"</f>
        <v>072992010</v>
      </c>
      <c r="F407" s="10">
        <v>40324</v>
      </c>
      <c r="G407" s="11">
        <v>4290.8</v>
      </c>
      <c r="H407" s="11">
        <v>4290.8</v>
      </c>
      <c r="I407" s="4" t="s">
        <v>23</v>
      </c>
      <c r="J407" s="4" t="s">
        <v>24</v>
      </c>
      <c r="K407" s="11">
        <v>0</v>
      </c>
      <c r="L407" s="4"/>
      <c r="M407" s="4"/>
      <c r="N407" s="11">
        <v>0</v>
      </c>
      <c r="O407" s="4"/>
      <c r="P407" s="4"/>
      <c r="Q407" s="11">
        <v>0</v>
      </c>
      <c r="R407" s="4"/>
      <c r="S407" s="12"/>
    </row>
    <row r="408" spans="1:19" x14ac:dyDescent="0.25">
      <c r="A408" s="9" t="s">
        <v>359</v>
      </c>
      <c r="B408" s="9" t="s">
        <v>291</v>
      </c>
      <c r="C408" s="4">
        <v>201003310</v>
      </c>
      <c r="D408" s="4" t="s">
        <v>399</v>
      </c>
      <c r="E408" s="4" t="str">
        <f>"067442010"</f>
        <v>067442010</v>
      </c>
      <c r="F408" s="10">
        <v>40310</v>
      </c>
      <c r="G408" s="11">
        <v>12000</v>
      </c>
      <c r="H408" s="11">
        <v>12000</v>
      </c>
      <c r="I408" s="4" t="s">
        <v>23</v>
      </c>
      <c r="J408" s="4" t="s">
        <v>24</v>
      </c>
      <c r="K408" s="11">
        <v>0</v>
      </c>
      <c r="L408" s="4"/>
      <c r="M408" s="4"/>
      <c r="N408" s="11">
        <v>0</v>
      </c>
      <c r="O408" s="4"/>
      <c r="P408" s="4"/>
      <c r="Q408" s="11">
        <v>0</v>
      </c>
      <c r="R408" s="4"/>
      <c r="S408" s="12"/>
    </row>
    <row r="409" spans="1:19" x14ac:dyDescent="0.25">
      <c r="A409" s="9" t="s">
        <v>359</v>
      </c>
      <c r="B409" s="9" t="s">
        <v>359</v>
      </c>
      <c r="C409" s="4">
        <v>201003373</v>
      </c>
      <c r="D409" s="4" t="s">
        <v>400</v>
      </c>
      <c r="E409" s="4" t="str">
        <f>"069142010"</f>
        <v>069142010</v>
      </c>
      <c r="F409" s="10">
        <v>40315</v>
      </c>
      <c r="G409" s="11">
        <v>39000</v>
      </c>
      <c r="H409" s="11">
        <v>39000</v>
      </c>
      <c r="I409" s="4" t="s">
        <v>98</v>
      </c>
      <c r="J409" s="4" t="s">
        <v>99</v>
      </c>
      <c r="K409" s="11">
        <v>0</v>
      </c>
      <c r="L409" s="4"/>
      <c r="M409" s="4"/>
      <c r="N409" s="11">
        <v>0</v>
      </c>
      <c r="O409" s="4"/>
      <c r="P409" s="4"/>
      <c r="Q409" s="11">
        <v>0</v>
      </c>
      <c r="R409" s="4"/>
      <c r="S409" s="12"/>
    </row>
    <row r="410" spans="1:19" x14ac:dyDescent="0.25">
      <c r="A410" s="9" t="s">
        <v>359</v>
      </c>
      <c r="B410" s="9" t="s">
        <v>291</v>
      </c>
      <c r="C410" s="4">
        <v>201003490</v>
      </c>
      <c r="D410" s="4"/>
      <c r="E410" s="4" t="str">
        <f>"073402010"</f>
        <v>073402010</v>
      </c>
      <c r="F410" s="10">
        <v>40331</v>
      </c>
      <c r="G410" s="11">
        <v>60000</v>
      </c>
      <c r="H410" s="11">
        <v>60000</v>
      </c>
      <c r="I410" s="4" t="s">
        <v>401</v>
      </c>
      <c r="J410" s="4" t="s">
        <v>402</v>
      </c>
      <c r="K410" s="11">
        <v>0</v>
      </c>
      <c r="L410" s="4"/>
      <c r="M410" s="4"/>
      <c r="N410" s="11">
        <v>0</v>
      </c>
      <c r="O410" s="4"/>
      <c r="P410" s="4"/>
      <c r="Q410" s="11">
        <v>0</v>
      </c>
      <c r="R410" s="4"/>
      <c r="S410" s="12"/>
    </row>
    <row r="411" spans="1:19" x14ac:dyDescent="0.25">
      <c r="A411" s="9" t="s">
        <v>359</v>
      </c>
      <c r="B411" s="9" t="s">
        <v>291</v>
      </c>
      <c r="C411" s="4">
        <v>201003544</v>
      </c>
      <c r="D411" s="4" t="s">
        <v>403</v>
      </c>
      <c r="E411" s="4" t="str">
        <f>"072572010"</f>
        <v>072572010</v>
      </c>
      <c r="F411" s="10">
        <v>40323</v>
      </c>
      <c r="G411" s="11">
        <v>300000</v>
      </c>
      <c r="H411" s="11">
        <v>300000</v>
      </c>
      <c r="I411" s="4" t="s">
        <v>72</v>
      </c>
      <c r="J411" s="4" t="s">
        <v>73</v>
      </c>
      <c r="K411" s="11">
        <v>0</v>
      </c>
      <c r="L411" s="4"/>
      <c r="M411" s="4"/>
      <c r="N411" s="11">
        <v>0</v>
      </c>
      <c r="O411" s="4"/>
      <c r="P411" s="4"/>
      <c r="Q411" s="11">
        <v>0</v>
      </c>
      <c r="R411" s="4"/>
      <c r="S411" s="12"/>
    </row>
    <row r="412" spans="1:19" x14ac:dyDescent="0.25">
      <c r="A412" s="9" t="s">
        <v>359</v>
      </c>
      <c r="B412" s="9" t="s">
        <v>291</v>
      </c>
      <c r="C412" s="4">
        <v>201003726</v>
      </c>
      <c r="D412" s="4" t="s">
        <v>404</v>
      </c>
      <c r="E412" s="4" t="str">
        <f>"073662010"</f>
        <v>073662010</v>
      </c>
      <c r="F412" s="10">
        <v>40324</v>
      </c>
      <c r="G412" s="11">
        <v>350000</v>
      </c>
      <c r="H412" s="11">
        <v>350000</v>
      </c>
      <c r="I412" s="4" t="s">
        <v>72</v>
      </c>
      <c r="J412" s="4" t="s">
        <v>73</v>
      </c>
      <c r="K412" s="11">
        <v>0</v>
      </c>
      <c r="L412" s="4"/>
      <c r="M412" s="4"/>
      <c r="N412" s="11">
        <v>0</v>
      </c>
      <c r="O412" s="4"/>
      <c r="P412" s="4"/>
      <c r="Q412" s="11">
        <v>0</v>
      </c>
      <c r="R412" s="4"/>
      <c r="S412" s="12"/>
    </row>
    <row r="413" spans="1:19" x14ac:dyDescent="0.25">
      <c r="A413" s="9" t="s">
        <v>359</v>
      </c>
      <c r="B413" s="9" t="s">
        <v>291</v>
      </c>
      <c r="C413" s="4">
        <v>201004069</v>
      </c>
      <c r="D413" s="4" t="s">
        <v>405</v>
      </c>
      <c r="E413" s="4" t="str">
        <f>"080562010"</f>
        <v>080562010</v>
      </c>
      <c r="F413" s="10">
        <v>40346</v>
      </c>
      <c r="G413" s="11">
        <v>60000</v>
      </c>
      <c r="H413" s="11">
        <v>60000</v>
      </c>
      <c r="I413" s="4" t="s">
        <v>23</v>
      </c>
      <c r="J413" s="4" t="s">
        <v>24</v>
      </c>
      <c r="K413" s="11">
        <v>0</v>
      </c>
      <c r="L413" s="4"/>
      <c r="M413" s="4"/>
      <c r="N413" s="11">
        <v>0</v>
      </c>
      <c r="O413" s="4"/>
      <c r="P413" s="4"/>
      <c r="Q413" s="11">
        <v>0</v>
      </c>
      <c r="R413" s="4"/>
      <c r="S413" s="12"/>
    </row>
    <row r="414" spans="1:19" x14ac:dyDescent="0.25">
      <c r="A414" s="9" t="s">
        <v>359</v>
      </c>
      <c r="B414" s="9" t="s">
        <v>291</v>
      </c>
      <c r="C414" s="4">
        <v>201004101</v>
      </c>
      <c r="D414" s="4" t="s">
        <v>406</v>
      </c>
      <c r="E414" s="4" t="str">
        <f>"081122010"</f>
        <v>081122010</v>
      </c>
      <c r="F414" s="10">
        <v>40361</v>
      </c>
      <c r="G414" s="11">
        <v>1798</v>
      </c>
      <c r="H414" s="11">
        <v>0</v>
      </c>
      <c r="I414" s="4"/>
      <c r="J414" s="4"/>
      <c r="K414" s="11">
        <v>0</v>
      </c>
      <c r="L414" s="4"/>
      <c r="M414" s="4"/>
      <c r="N414" s="11">
        <v>1798</v>
      </c>
      <c r="O414" s="4" t="s">
        <v>407</v>
      </c>
      <c r="P414" s="4" t="s">
        <v>408</v>
      </c>
      <c r="Q414" s="11">
        <v>0</v>
      </c>
      <c r="R414" s="4"/>
      <c r="S414" s="12"/>
    </row>
    <row r="415" spans="1:19" x14ac:dyDescent="0.25">
      <c r="A415" s="9" t="s">
        <v>359</v>
      </c>
      <c r="B415" s="9" t="s">
        <v>291</v>
      </c>
      <c r="C415" s="4">
        <v>201004101</v>
      </c>
      <c r="D415" s="4" t="s">
        <v>406</v>
      </c>
      <c r="E415" s="4" t="str">
        <f>"081142010"</f>
        <v>081142010</v>
      </c>
      <c r="F415" s="10">
        <v>40361</v>
      </c>
      <c r="G415" s="11">
        <v>8102.5</v>
      </c>
      <c r="H415" s="11">
        <v>6182</v>
      </c>
      <c r="I415" s="4" t="s">
        <v>407</v>
      </c>
      <c r="J415" s="4" t="s">
        <v>408</v>
      </c>
      <c r="K415" s="11">
        <v>0</v>
      </c>
      <c r="L415" s="4"/>
      <c r="M415" s="4"/>
      <c r="N415" s="11">
        <v>0</v>
      </c>
      <c r="O415" s="4"/>
      <c r="P415" s="4"/>
      <c r="Q415" s="11">
        <v>0</v>
      </c>
      <c r="R415" s="4"/>
      <c r="S415" s="12"/>
    </row>
    <row r="416" spans="1:19" x14ac:dyDescent="0.25">
      <c r="A416" s="9" t="s">
        <v>359</v>
      </c>
      <c r="B416" s="9" t="s">
        <v>291</v>
      </c>
      <c r="C416" s="4">
        <v>201004181</v>
      </c>
      <c r="D416" s="4" t="s">
        <v>409</v>
      </c>
      <c r="E416" s="4" t="str">
        <f>"083402010"</f>
        <v>083402010</v>
      </c>
      <c r="F416" s="10">
        <v>40353</v>
      </c>
      <c r="G416" s="11">
        <v>150000</v>
      </c>
      <c r="H416" s="11">
        <v>150000</v>
      </c>
      <c r="I416" s="4" t="s">
        <v>23</v>
      </c>
      <c r="J416" s="4" t="s">
        <v>24</v>
      </c>
      <c r="K416" s="11">
        <v>0</v>
      </c>
      <c r="L416" s="4"/>
      <c r="M416" s="4"/>
      <c r="N416" s="11">
        <v>0</v>
      </c>
      <c r="O416" s="4"/>
      <c r="P416" s="4"/>
      <c r="Q416" s="11">
        <v>0</v>
      </c>
      <c r="R416" s="4"/>
      <c r="S416" s="12"/>
    </row>
    <row r="417" spans="1:19" x14ac:dyDescent="0.25">
      <c r="A417" s="9" t="s">
        <v>359</v>
      </c>
      <c r="B417" s="9" t="s">
        <v>291</v>
      </c>
      <c r="C417" s="4">
        <v>201004186</v>
      </c>
      <c r="D417" s="4" t="s">
        <v>410</v>
      </c>
      <c r="E417" s="4" t="str">
        <f>"083322010"</f>
        <v>083322010</v>
      </c>
      <c r="F417" s="10">
        <v>40353</v>
      </c>
      <c r="G417" s="11">
        <v>28000</v>
      </c>
      <c r="H417" s="11">
        <v>28000</v>
      </c>
      <c r="I417" s="4" t="s">
        <v>72</v>
      </c>
      <c r="J417" s="4" t="s">
        <v>73</v>
      </c>
      <c r="K417" s="11">
        <v>0</v>
      </c>
      <c r="L417" s="4"/>
      <c r="M417" s="4"/>
      <c r="N417" s="11">
        <v>0</v>
      </c>
      <c r="O417" s="4"/>
      <c r="P417" s="4"/>
      <c r="Q417" s="11">
        <v>0</v>
      </c>
      <c r="R417" s="4"/>
      <c r="S417" s="12"/>
    </row>
    <row r="418" spans="1:19" x14ac:dyDescent="0.25">
      <c r="A418" s="9" t="s">
        <v>359</v>
      </c>
      <c r="B418" s="9" t="s">
        <v>291</v>
      </c>
      <c r="C418" s="4">
        <v>201004196</v>
      </c>
      <c r="D418" s="4" t="s">
        <v>411</v>
      </c>
      <c r="E418" s="4" t="str">
        <f>"088542010"</f>
        <v>088542010</v>
      </c>
      <c r="F418" s="10">
        <v>40366</v>
      </c>
      <c r="G418" s="11">
        <v>150000</v>
      </c>
      <c r="H418" s="11">
        <v>150000</v>
      </c>
      <c r="I418" s="4" t="s">
        <v>88</v>
      </c>
      <c r="J418" s="4" t="s">
        <v>89</v>
      </c>
      <c r="K418" s="11">
        <v>0</v>
      </c>
      <c r="L418" s="4"/>
      <c r="M418" s="4"/>
      <c r="N418" s="11">
        <v>0</v>
      </c>
      <c r="O418" s="4"/>
      <c r="P418" s="4"/>
      <c r="Q418" s="11">
        <v>0</v>
      </c>
      <c r="R418" s="4"/>
      <c r="S418" s="12"/>
    </row>
    <row r="419" spans="1:19" x14ac:dyDescent="0.25">
      <c r="A419" s="9" t="s">
        <v>359</v>
      </c>
      <c r="B419" s="9" t="s">
        <v>291</v>
      </c>
      <c r="C419" s="4">
        <v>201004391</v>
      </c>
      <c r="D419" s="4" t="s">
        <v>412</v>
      </c>
      <c r="E419" s="4" t="str">
        <f>"088942010"</f>
        <v>088942010</v>
      </c>
      <c r="F419" s="10">
        <v>40366</v>
      </c>
      <c r="G419" s="11">
        <v>600000</v>
      </c>
      <c r="H419" s="11">
        <v>600000</v>
      </c>
      <c r="I419" s="4" t="s">
        <v>23</v>
      </c>
      <c r="J419" s="4" t="s">
        <v>24</v>
      </c>
      <c r="K419" s="11">
        <v>0</v>
      </c>
      <c r="L419" s="4"/>
      <c r="M419" s="4"/>
      <c r="N419" s="11">
        <v>0</v>
      </c>
      <c r="O419" s="4"/>
      <c r="P419" s="4"/>
      <c r="Q419" s="11">
        <v>0</v>
      </c>
      <c r="R419" s="4"/>
      <c r="S419" s="12"/>
    </row>
    <row r="420" spans="1:19" x14ac:dyDescent="0.25">
      <c r="A420" s="9" t="s">
        <v>359</v>
      </c>
      <c r="B420" s="9" t="s">
        <v>359</v>
      </c>
      <c r="C420" s="4">
        <v>201004523</v>
      </c>
      <c r="D420" s="4" t="s">
        <v>413</v>
      </c>
      <c r="E420" s="4" t="str">
        <f>"089162010"</f>
        <v>089162010</v>
      </c>
      <c r="F420" s="10">
        <v>40366</v>
      </c>
      <c r="G420" s="11">
        <v>550000</v>
      </c>
      <c r="H420" s="11">
        <v>550000</v>
      </c>
      <c r="I420" s="4" t="s">
        <v>98</v>
      </c>
      <c r="J420" s="4" t="s">
        <v>99</v>
      </c>
      <c r="K420" s="11">
        <v>0</v>
      </c>
      <c r="L420" s="4"/>
      <c r="M420" s="4"/>
      <c r="N420" s="11">
        <v>0</v>
      </c>
      <c r="O420" s="4"/>
      <c r="P420" s="4"/>
      <c r="Q420" s="11">
        <v>0</v>
      </c>
      <c r="R420" s="4"/>
      <c r="S420" s="12"/>
    </row>
    <row r="421" spans="1:19" x14ac:dyDescent="0.25">
      <c r="A421" s="9" t="s">
        <v>359</v>
      </c>
      <c r="B421" s="9" t="s">
        <v>291</v>
      </c>
      <c r="C421" s="4">
        <v>201004832</v>
      </c>
      <c r="D421" s="4" t="s">
        <v>414</v>
      </c>
      <c r="E421" s="4" t="str">
        <f>"097332010"</f>
        <v>097332010</v>
      </c>
      <c r="F421" s="10">
        <v>40388</v>
      </c>
      <c r="G421" s="11">
        <v>14550000</v>
      </c>
      <c r="H421" s="11">
        <v>14550000</v>
      </c>
      <c r="I421" s="4" t="s">
        <v>142</v>
      </c>
      <c r="J421" s="4" t="s">
        <v>143</v>
      </c>
      <c r="K421" s="11">
        <v>0</v>
      </c>
      <c r="L421" s="4"/>
      <c r="M421" s="4"/>
      <c r="N421" s="11">
        <v>0</v>
      </c>
      <c r="O421" s="4"/>
      <c r="P421" s="4"/>
      <c r="Q421" s="11">
        <v>0</v>
      </c>
      <c r="R421" s="4"/>
      <c r="S421" s="12"/>
    </row>
    <row r="422" spans="1:19" x14ac:dyDescent="0.25">
      <c r="A422" s="9" t="s">
        <v>359</v>
      </c>
      <c r="B422" s="9" t="s">
        <v>291</v>
      </c>
      <c r="C422" s="4">
        <v>201004848</v>
      </c>
      <c r="D422" s="4" t="s">
        <v>415</v>
      </c>
      <c r="E422" s="4" t="str">
        <f>"102552010"</f>
        <v>102552010</v>
      </c>
      <c r="F422" s="10">
        <v>40408</v>
      </c>
      <c r="G422" s="11">
        <v>89560.07</v>
      </c>
      <c r="H422" s="11">
        <v>0</v>
      </c>
      <c r="I422" s="4"/>
      <c r="J422" s="4"/>
      <c r="K422" s="11">
        <v>0</v>
      </c>
      <c r="L422" s="4"/>
      <c r="M422" s="4"/>
      <c r="N422" s="11">
        <v>0</v>
      </c>
      <c r="O422" s="4"/>
      <c r="P422" s="4"/>
      <c r="Q422" s="11">
        <v>89560.07</v>
      </c>
      <c r="R422" s="4" t="s">
        <v>416</v>
      </c>
      <c r="S422" s="12" t="s">
        <v>417</v>
      </c>
    </row>
    <row r="423" spans="1:19" x14ac:dyDescent="0.25">
      <c r="A423" s="9" t="s">
        <v>359</v>
      </c>
      <c r="B423" s="9" t="s">
        <v>291</v>
      </c>
      <c r="C423" s="4">
        <v>201004915</v>
      </c>
      <c r="D423" s="4" t="s">
        <v>418</v>
      </c>
      <c r="E423" s="4" t="str">
        <f>"103152010"</f>
        <v>103152010</v>
      </c>
      <c r="F423" s="10">
        <v>40409</v>
      </c>
      <c r="G423" s="11">
        <v>10000</v>
      </c>
      <c r="H423" s="11">
        <v>10000</v>
      </c>
      <c r="I423" s="4" t="s">
        <v>23</v>
      </c>
      <c r="J423" s="4" t="s">
        <v>24</v>
      </c>
      <c r="K423" s="11">
        <v>0</v>
      </c>
      <c r="L423" s="4"/>
      <c r="M423" s="4"/>
      <c r="N423" s="11">
        <v>0</v>
      </c>
      <c r="O423" s="4"/>
      <c r="P423" s="4"/>
      <c r="Q423" s="11">
        <v>0</v>
      </c>
      <c r="R423" s="4"/>
      <c r="S423" s="12"/>
    </row>
    <row r="424" spans="1:19" x14ac:dyDescent="0.25">
      <c r="A424" s="9" t="s">
        <v>359</v>
      </c>
      <c r="B424" s="9" t="s">
        <v>359</v>
      </c>
      <c r="C424" s="4">
        <v>201004943</v>
      </c>
      <c r="D424" s="4" t="s">
        <v>419</v>
      </c>
      <c r="E424" s="4" t="str">
        <f>"100812010"</f>
        <v>100812010</v>
      </c>
      <c r="F424" s="10">
        <v>40403</v>
      </c>
      <c r="G424" s="11">
        <v>6708.12</v>
      </c>
      <c r="H424" s="11">
        <v>5000</v>
      </c>
      <c r="I424" s="4" t="s">
        <v>98</v>
      </c>
      <c r="J424" s="4" t="s">
        <v>99</v>
      </c>
      <c r="K424" s="11">
        <v>0</v>
      </c>
      <c r="L424" s="4"/>
      <c r="M424" s="4"/>
      <c r="N424" s="11">
        <v>0</v>
      </c>
      <c r="O424" s="4"/>
      <c r="P424" s="4"/>
      <c r="Q424" s="11">
        <v>1708.12</v>
      </c>
      <c r="R424" s="4" t="s">
        <v>98</v>
      </c>
      <c r="S424" s="12" t="s">
        <v>99</v>
      </c>
    </row>
    <row r="425" spans="1:19" x14ac:dyDescent="0.25">
      <c r="A425" s="9" t="s">
        <v>359</v>
      </c>
      <c r="B425" s="9" t="s">
        <v>359</v>
      </c>
      <c r="C425" s="4">
        <v>201005001</v>
      </c>
      <c r="D425" s="4" t="s">
        <v>420</v>
      </c>
      <c r="E425" s="4" t="str">
        <f>"099872010"</f>
        <v>099872010</v>
      </c>
      <c r="F425" s="10">
        <v>40400</v>
      </c>
      <c r="G425" s="11">
        <v>46924</v>
      </c>
      <c r="H425" s="11">
        <v>46924</v>
      </c>
      <c r="I425" s="4" t="s">
        <v>98</v>
      </c>
      <c r="J425" s="4" t="s">
        <v>99</v>
      </c>
      <c r="K425" s="11">
        <v>0</v>
      </c>
      <c r="L425" s="4"/>
      <c r="M425" s="4"/>
      <c r="N425" s="11">
        <v>0</v>
      </c>
      <c r="O425" s="4"/>
      <c r="P425" s="4"/>
      <c r="Q425" s="11">
        <v>0</v>
      </c>
      <c r="R425" s="4"/>
      <c r="S425" s="12"/>
    </row>
    <row r="426" spans="1:19" x14ac:dyDescent="0.25">
      <c r="A426" s="9" t="s">
        <v>359</v>
      </c>
      <c r="B426" s="9" t="s">
        <v>291</v>
      </c>
      <c r="C426" s="4">
        <v>201005030</v>
      </c>
      <c r="D426" s="4" t="s">
        <v>421</v>
      </c>
      <c r="E426" s="4" t="str">
        <f>"101572010"</f>
        <v>101572010</v>
      </c>
      <c r="F426" s="10">
        <v>40408</v>
      </c>
      <c r="G426" s="11">
        <v>100000</v>
      </c>
      <c r="H426" s="11">
        <v>100000</v>
      </c>
      <c r="I426" s="4" t="s">
        <v>38</v>
      </c>
      <c r="J426" s="4" t="s">
        <v>39</v>
      </c>
      <c r="K426" s="11">
        <v>0</v>
      </c>
      <c r="L426" s="4"/>
      <c r="M426" s="4"/>
      <c r="N426" s="11">
        <v>0</v>
      </c>
      <c r="O426" s="4"/>
      <c r="P426" s="4"/>
      <c r="Q426" s="11">
        <v>0</v>
      </c>
      <c r="R426" s="4"/>
      <c r="S426" s="12"/>
    </row>
    <row r="427" spans="1:19" x14ac:dyDescent="0.25">
      <c r="A427" s="9" t="s">
        <v>359</v>
      </c>
      <c r="B427" s="9" t="s">
        <v>359</v>
      </c>
      <c r="C427" s="4">
        <v>201005075</v>
      </c>
      <c r="D427" s="4" t="s">
        <v>419</v>
      </c>
      <c r="E427" s="4" t="str">
        <f>"100832010"</f>
        <v>100832010</v>
      </c>
      <c r="F427" s="10">
        <v>40403</v>
      </c>
      <c r="G427" s="11">
        <v>141027.59</v>
      </c>
      <c r="H427" s="11">
        <v>105117</v>
      </c>
      <c r="I427" s="4" t="s">
        <v>98</v>
      </c>
      <c r="J427" s="4" t="s">
        <v>99</v>
      </c>
      <c r="K427" s="11">
        <v>0</v>
      </c>
      <c r="L427" s="4"/>
      <c r="M427" s="4"/>
      <c r="N427" s="11">
        <v>0</v>
      </c>
      <c r="O427" s="4"/>
      <c r="P427" s="4"/>
      <c r="Q427" s="11">
        <v>35910.589999999997</v>
      </c>
      <c r="R427" s="4" t="s">
        <v>98</v>
      </c>
      <c r="S427" s="12" t="s">
        <v>99</v>
      </c>
    </row>
    <row r="428" spans="1:19" x14ac:dyDescent="0.25">
      <c r="A428" s="9" t="s">
        <v>359</v>
      </c>
      <c r="B428" s="9" t="s">
        <v>291</v>
      </c>
      <c r="C428" s="4">
        <v>201005076</v>
      </c>
      <c r="D428" s="4"/>
      <c r="E428" s="4" t="str">
        <f>"102152010"</f>
        <v>102152010</v>
      </c>
      <c r="F428" s="10">
        <v>40408</v>
      </c>
      <c r="G428" s="11">
        <v>464.49</v>
      </c>
      <c r="H428" s="11">
        <v>460</v>
      </c>
      <c r="I428" s="4" t="s">
        <v>142</v>
      </c>
      <c r="J428" s="4" t="s">
        <v>143</v>
      </c>
      <c r="K428" s="11">
        <v>0</v>
      </c>
      <c r="L428" s="4"/>
      <c r="M428" s="4"/>
      <c r="N428" s="11">
        <v>0</v>
      </c>
      <c r="O428" s="4"/>
      <c r="P428" s="4"/>
      <c r="Q428" s="11">
        <v>4.49</v>
      </c>
      <c r="R428" s="4" t="s">
        <v>142</v>
      </c>
      <c r="S428" s="12" t="s">
        <v>143</v>
      </c>
    </row>
    <row r="429" spans="1:19" x14ac:dyDescent="0.25">
      <c r="A429" s="9" t="s">
        <v>359</v>
      </c>
      <c r="B429" s="9" t="s">
        <v>291</v>
      </c>
      <c r="C429" s="4">
        <v>201005077</v>
      </c>
      <c r="D429" s="4"/>
      <c r="E429" s="4" t="str">
        <f>"102192010"</f>
        <v>102192010</v>
      </c>
      <c r="F429" s="10">
        <v>40408</v>
      </c>
      <c r="G429" s="11">
        <v>485039.55</v>
      </c>
      <c r="H429" s="11">
        <v>480527.59</v>
      </c>
      <c r="I429" s="4" t="s">
        <v>142</v>
      </c>
      <c r="J429" s="4" t="s">
        <v>143</v>
      </c>
      <c r="K429" s="11">
        <v>0</v>
      </c>
      <c r="L429" s="4"/>
      <c r="M429" s="4"/>
      <c r="N429" s="11">
        <v>0</v>
      </c>
      <c r="O429" s="4"/>
      <c r="P429" s="4"/>
      <c r="Q429" s="11">
        <v>4511.96</v>
      </c>
      <c r="R429" s="4" t="s">
        <v>142</v>
      </c>
      <c r="S429" s="12" t="s">
        <v>143</v>
      </c>
    </row>
    <row r="430" spans="1:19" x14ac:dyDescent="0.25">
      <c r="A430" s="9" t="s">
        <v>359</v>
      </c>
      <c r="B430" s="9" t="s">
        <v>359</v>
      </c>
      <c r="C430" s="4">
        <v>201005087</v>
      </c>
      <c r="D430" s="4" t="s">
        <v>419</v>
      </c>
      <c r="E430" s="4" t="str">
        <f>"101032010"</f>
        <v>101032010</v>
      </c>
      <c r="F430" s="10">
        <v>40407</v>
      </c>
      <c r="G430" s="11">
        <v>216684.37</v>
      </c>
      <c r="H430" s="11">
        <v>161478</v>
      </c>
      <c r="I430" s="4" t="s">
        <v>98</v>
      </c>
      <c r="J430" s="4" t="s">
        <v>99</v>
      </c>
      <c r="K430" s="11">
        <v>0</v>
      </c>
      <c r="L430" s="4"/>
      <c r="M430" s="4"/>
      <c r="N430" s="11">
        <v>0</v>
      </c>
      <c r="O430" s="4"/>
      <c r="P430" s="4"/>
      <c r="Q430" s="11">
        <v>55206.37</v>
      </c>
      <c r="R430" s="4" t="s">
        <v>98</v>
      </c>
      <c r="S430" s="12" t="s">
        <v>99</v>
      </c>
    </row>
    <row r="431" spans="1:19" x14ac:dyDescent="0.25">
      <c r="A431" s="9" t="s">
        <v>359</v>
      </c>
      <c r="B431" s="9" t="s">
        <v>291</v>
      </c>
      <c r="C431" s="4">
        <v>201005132</v>
      </c>
      <c r="D431" s="4"/>
      <c r="E431" s="4" t="str">
        <f>"102972010"</f>
        <v>102972010</v>
      </c>
      <c r="F431" s="10">
        <v>40408</v>
      </c>
      <c r="G431" s="11">
        <v>350000</v>
      </c>
      <c r="H431" s="11">
        <v>350000</v>
      </c>
      <c r="I431" s="4" t="s">
        <v>72</v>
      </c>
      <c r="J431" s="4" t="s">
        <v>73</v>
      </c>
      <c r="K431" s="11">
        <v>0</v>
      </c>
      <c r="L431" s="4"/>
      <c r="M431" s="4"/>
      <c r="N431" s="11">
        <v>0</v>
      </c>
      <c r="O431" s="4"/>
      <c r="P431" s="4"/>
      <c r="Q431" s="11">
        <v>0</v>
      </c>
      <c r="R431" s="4"/>
      <c r="S431" s="12"/>
    </row>
    <row r="432" spans="1:19" x14ac:dyDescent="0.25">
      <c r="A432" s="9" t="s">
        <v>359</v>
      </c>
      <c r="B432" s="9" t="s">
        <v>291</v>
      </c>
      <c r="C432" s="4">
        <v>201005196</v>
      </c>
      <c r="D432" s="4" t="s">
        <v>422</v>
      </c>
      <c r="E432" s="4" t="str">
        <f>"103892010"</f>
        <v>103892010</v>
      </c>
      <c r="F432" s="10">
        <v>40436</v>
      </c>
      <c r="G432" s="11">
        <v>9503</v>
      </c>
      <c r="H432" s="11">
        <v>9503</v>
      </c>
      <c r="I432" s="4" t="s">
        <v>407</v>
      </c>
      <c r="J432" s="4" t="s">
        <v>408</v>
      </c>
      <c r="K432" s="11">
        <v>0</v>
      </c>
      <c r="L432" s="4"/>
      <c r="M432" s="4"/>
      <c r="N432" s="11">
        <v>0</v>
      </c>
      <c r="O432" s="4"/>
      <c r="P432" s="4"/>
      <c r="Q432" s="11">
        <v>0</v>
      </c>
      <c r="R432" s="4"/>
      <c r="S432" s="12"/>
    </row>
    <row r="433" spans="1:19" x14ac:dyDescent="0.25">
      <c r="A433" s="9" t="s">
        <v>359</v>
      </c>
      <c r="B433" s="9" t="s">
        <v>291</v>
      </c>
      <c r="C433" s="4">
        <v>201005196</v>
      </c>
      <c r="D433" s="4" t="s">
        <v>422</v>
      </c>
      <c r="E433" s="4" t="str">
        <f>"103912010"</f>
        <v>103912010</v>
      </c>
      <c r="F433" s="10">
        <v>40436</v>
      </c>
      <c r="G433" s="11">
        <v>8724</v>
      </c>
      <c r="H433" s="11">
        <v>8724</v>
      </c>
      <c r="I433" s="4" t="s">
        <v>407</v>
      </c>
      <c r="J433" s="4" t="s">
        <v>408</v>
      </c>
      <c r="K433" s="11">
        <v>0</v>
      </c>
      <c r="L433" s="4"/>
      <c r="M433" s="4"/>
      <c r="N433" s="11">
        <v>0</v>
      </c>
      <c r="O433" s="4"/>
      <c r="P433" s="4"/>
      <c r="Q433" s="11">
        <v>0</v>
      </c>
      <c r="R433" s="4"/>
      <c r="S433" s="12"/>
    </row>
    <row r="434" spans="1:19" x14ac:dyDescent="0.25">
      <c r="A434" s="9" t="s">
        <v>359</v>
      </c>
      <c r="B434" s="9" t="s">
        <v>291</v>
      </c>
      <c r="C434" s="4">
        <v>201005196</v>
      </c>
      <c r="D434" s="4" t="s">
        <v>422</v>
      </c>
      <c r="E434" s="4" t="str">
        <f>"103932010"</f>
        <v>103932010</v>
      </c>
      <c r="F434" s="10">
        <v>40436</v>
      </c>
      <c r="G434" s="11">
        <v>6322</v>
      </c>
      <c r="H434" s="11">
        <v>6322</v>
      </c>
      <c r="I434" s="4" t="s">
        <v>407</v>
      </c>
      <c r="J434" s="4" t="s">
        <v>408</v>
      </c>
      <c r="K434" s="11">
        <v>0</v>
      </c>
      <c r="L434" s="4"/>
      <c r="M434" s="4"/>
      <c r="N434" s="11">
        <v>0</v>
      </c>
      <c r="O434" s="4"/>
      <c r="P434" s="4"/>
      <c r="Q434" s="11">
        <v>0</v>
      </c>
      <c r="R434" s="4"/>
      <c r="S434" s="12"/>
    </row>
    <row r="435" spans="1:19" x14ac:dyDescent="0.25">
      <c r="A435" s="9" t="s">
        <v>359</v>
      </c>
      <c r="B435" s="9" t="s">
        <v>291</v>
      </c>
      <c r="C435" s="4">
        <v>201005197</v>
      </c>
      <c r="D435" s="4" t="s">
        <v>422</v>
      </c>
      <c r="E435" s="4" t="str">
        <f>"103612010"</f>
        <v>103612010</v>
      </c>
      <c r="F435" s="10">
        <v>40441</v>
      </c>
      <c r="G435" s="11">
        <v>26317.33</v>
      </c>
      <c r="H435" s="11">
        <v>9868</v>
      </c>
      <c r="I435" s="4" t="s">
        <v>407</v>
      </c>
      <c r="J435" s="4" t="s">
        <v>408</v>
      </c>
      <c r="K435" s="11">
        <v>0</v>
      </c>
      <c r="L435" s="4"/>
      <c r="M435" s="4"/>
      <c r="N435" s="11">
        <v>0</v>
      </c>
      <c r="O435" s="4"/>
      <c r="P435" s="4"/>
      <c r="Q435" s="11">
        <v>0</v>
      </c>
      <c r="R435" s="4"/>
      <c r="S435" s="12"/>
    </row>
    <row r="436" spans="1:19" x14ac:dyDescent="0.25">
      <c r="A436" s="9" t="s">
        <v>359</v>
      </c>
      <c r="B436" s="9" t="s">
        <v>291</v>
      </c>
      <c r="C436" s="4">
        <v>201005197</v>
      </c>
      <c r="D436" s="4" t="s">
        <v>422</v>
      </c>
      <c r="E436" s="4" t="str">
        <f>"103632010"</f>
        <v>103632010</v>
      </c>
      <c r="F436" s="10">
        <v>40441</v>
      </c>
      <c r="G436" s="11">
        <v>9153</v>
      </c>
      <c r="H436" s="11">
        <v>9153</v>
      </c>
      <c r="I436" s="4" t="s">
        <v>407</v>
      </c>
      <c r="J436" s="4" t="s">
        <v>408</v>
      </c>
      <c r="K436" s="11">
        <v>0</v>
      </c>
      <c r="L436" s="4"/>
      <c r="M436" s="4"/>
      <c r="N436" s="11">
        <v>0</v>
      </c>
      <c r="O436" s="4"/>
      <c r="P436" s="4"/>
      <c r="Q436" s="11">
        <v>0</v>
      </c>
      <c r="R436" s="4"/>
      <c r="S436" s="12"/>
    </row>
    <row r="437" spans="1:19" x14ac:dyDescent="0.25">
      <c r="A437" s="9" t="s">
        <v>359</v>
      </c>
      <c r="B437" s="9" t="s">
        <v>291</v>
      </c>
      <c r="C437" s="4">
        <v>201005197</v>
      </c>
      <c r="D437" s="4" t="s">
        <v>422</v>
      </c>
      <c r="E437" s="4" t="str">
        <f>"103652010"</f>
        <v>103652010</v>
      </c>
      <c r="F437" s="10">
        <v>40441</v>
      </c>
      <c r="G437" s="11">
        <v>6322</v>
      </c>
      <c r="H437" s="11">
        <v>6322</v>
      </c>
      <c r="I437" s="4" t="s">
        <v>407</v>
      </c>
      <c r="J437" s="4" t="s">
        <v>408</v>
      </c>
      <c r="K437" s="11">
        <v>0</v>
      </c>
      <c r="L437" s="4"/>
      <c r="M437" s="4"/>
      <c r="N437" s="11">
        <v>0</v>
      </c>
      <c r="O437" s="4"/>
      <c r="P437" s="4"/>
      <c r="Q437" s="11">
        <v>0</v>
      </c>
      <c r="R437" s="4"/>
      <c r="S437" s="12"/>
    </row>
    <row r="438" spans="1:19" x14ac:dyDescent="0.25">
      <c r="A438" s="9" t="s">
        <v>359</v>
      </c>
      <c r="B438" s="9" t="s">
        <v>291</v>
      </c>
      <c r="C438" s="4">
        <v>201005214</v>
      </c>
      <c r="D438" s="4" t="s">
        <v>423</v>
      </c>
      <c r="E438" s="4" t="str">
        <f>"105532010"</f>
        <v>105532010</v>
      </c>
      <c r="F438" s="10">
        <v>40415</v>
      </c>
      <c r="G438" s="11">
        <v>2000</v>
      </c>
      <c r="H438" s="11">
        <v>2000</v>
      </c>
      <c r="I438" s="4" t="s">
        <v>394</v>
      </c>
      <c r="J438" s="4" t="s">
        <v>395</v>
      </c>
      <c r="K438" s="11">
        <v>0</v>
      </c>
      <c r="L438" s="4"/>
      <c r="M438" s="4"/>
      <c r="N438" s="11">
        <v>0</v>
      </c>
      <c r="O438" s="4"/>
      <c r="P438" s="4"/>
      <c r="Q438" s="11">
        <v>0</v>
      </c>
      <c r="R438" s="4"/>
      <c r="S438" s="12"/>
    </row>
    <row r="439" spans="1:19" x14ac:dyDescent="0.25">
      <c r="A439" s="9" t="s">
        <v>359</v>
      </c>
      <c r="B439" s="9" t="s">
        <v>291</v>
      </c>
      <c r="C439" s="4">
        <v>201005216</v>
      </c>
      <c r="D439" s="4" t="s">
        <v>422</v>
      </c>
      <c r="E439" s="4" t="str">
        <f>"106232010"</f>
        <v>106232010</v>
      </c>
      <c r="F439" s="10">
        <v>40441</v>
      </c>
      <c r="G439" s="11">
        <v>37090.379999999997</v>
      </c>
      <c r="H439" s="11">
        <v>15333</v>
      </c>
      <c r="I439" s="4" t="s">
        <v>407</v>
      </c>
      <c r="J439" s="4" t="s">
        <v>408</v>
      </c>
      <c r="K439" s="11">
        <v>0</v>
      </c>
      <c r="L439" s="4"/>
      <c r="M439" s="4"/>
      <c r="N439" s="11">
        <v>0</v>
      </c>
      <c r="O439" s="4"/>
      <c r="P439" s="4"/>
      <c r="Q439" s="11">
        <v>0</v>
      </c>
      <c r="R439" s="4"/>
      <c r="S439" s="12"/>
    </row>
    <row r="440" spans="1:19" x14ac:dyDescent="0.25">
      <c r="A440" s="9" t="s">
        <v>359</v>
      </c>
      <c r="B440" s="9" t="s">
        <v>291</v>
      </c>
      <c r="C440" s="4">
        <v>201005216</v>
      </c>
      <c r="D440" s="4" t="s">
        <v>422</v>
      </c>
      <c r="E440" s="4" t="str">
        <f>"106252010"</f>
        <v>106252010</v>
      </c>
      <c r="F440" s="10">
        <v>40441</v>
      </c>
      <c r="G440" s="11">
        <v>14120</v>
      </c>
      <c r="H440" s="11">
        <v>14120</v>
      </c>
      <c r="I440" s="4" t="s">
        <v>407</v>
      </c>
      <c r="J440" s="4" t="s">
        <v>408</v>
      </c>
      <c r="K440" s="11">
        <v>0</v>
      </c>
      <c r="L440" s="4"/>
      <c r="M440" s="4"/>
      <c r="N440" s="11">
        <v>0</v>
      </c>
      <c r="O440" s="4"/>
      <c r="P440" s="4"/>
      <c r="Q440" s="11">
        <v>0</v>
      </c>
      <c r="R440" s="4"/>
      <c r="S440" s="12"/>
    </row>
    <row r="441" spans="1:19" x14ac:dyDescent="0.25">
      <c r="A441" s="9" t="s">
        <v>359</v>
      </c>
      <c r="B441" s="9" t="s">
        <v>291</v>
      </c>
      <c r="C441" s="4">
        <v>201005216</v>
      </c>
      <c r="D441" s="4" t="s">
        <v>422</v>
      </c>
      <c r="E441" s="4" t="str">
        <f>"106272010"</f>
        <v>106272010</v>
      </c>
      <c r="F441" s="10">
        <v>40441</v>
      </c>
      <c r="G441" s="11">
        <v>6322</v>
      </c>
      <c r="H441" s="11">
        <v>6322</v>
      </c>
      <c r="I441" s="4" t="s">
        <v>407</v>
      </c>
      <c r="J441" s="4" t="s">
        <v>408</v>
      </c>
      <c r="K441" s="11">
        <v>0</v>
      </c>
      <c r="L441" s="4"/>
      <c r="M441" s="4"/>
      <c r="N441" s="11">
        <v>0</v>
      </c>
      <c r="O441" s="4"/>
      <c r="P441" s="4"/>
      <c r="Q441" s="11">
        <v>0</v>
      </c>
      <c r="R441" s="4"/>
      <c r="S441" s="12"/>
    </row>
    <row r="442" spans="1:19" x14ac:dyDescent="0.25">
      <c r="A442" s="9" t="s">
        <v>359</v>
      </c>
      <c r="B442" s="9" t="s">
        <v>291</v>
      </c>
      <c r="C442" s="4">
        <v>201005224</v>
      </c>
      <c r="D442" s="4" t="s">
        <v>424</v>
      </c>
      <c r="E442" s="4" t="str">
        <f>"104592010"</f>
        <v>104592010</v>
      </c>
      <c r="F442" s="10">
        <v>40437</v>
      </c>
      <c r="G442" s="11">
        <v>25724.76</v>
      </c>
      <c r="H442" s="11">
        <v>6322</v>
      </c>
      <c r="I442" s="4" t="s">
        <v>407</v>
      </c>
      <c r="J442" s="4" t="s">
        <v>408</v>
      </c>
      <c r="K442" s="11">
        <v>0</v>
      </c>
      <c r="L442" s="4"/>
      <c r="M442" s="4"/>
      <c r="N442" s="11">
        <v>0</v>
      </c>
      <c r="O442" s="4"/>
      <c r="P442" s="4"/>
      <c r="Q442" s="11">
        <v>0</v>
      </c>
      <c r="R442" s="4"/>
      <c r="S442" s="12"/>
    </row>
    <row r="443" spans="1:19" x14ac:dyDescent="0.25">
      <c r="A443" s="9" t="s">
        <v>359</v>
      </c>
      <c r="B443" s="9" t="s">
        <v>291</v>
      </c>
      <c r="C443" s="4">
        <v>201005224</v>
      </c>
      <c r="D443" s="4" t="s">
        <v>424</v>
      </c>
      <c r="E443" s="4" t="str">
        <f>"104612010"</f>
        <v>104612010</v>
      </c>
      <c r="F443" s="10">
        <v>40437</v>
      </c>
      <c r="G443" s="11">
        <v>8278</v>
      </c>
      <c r="H443" s="11">
        <v>8278</v>
      </c>
      <c r="I443" s="4" t="s">
        <v>407</v>
      </c>
      <c r="J443" s="4" t="s">
        <v>408</v>
      </c>
      <c r="K443" s="11">
        <v>0</v>
      </c>
      <c r="L443" s="4"/>
      <c r="M443" s="4"/>
      <c r="N443" s="11">
        <v>0</v>
      </c>
      <c r="O443" s="4"/>
      <c r="P443" s="4"/>
      <c r="Q443" s="11">
        <v>0</v>
      </c>
      <c r="R443" s="4"/>
      <c r="S443" s="12"/>
    </row>
    <row r="444" spans="1:19" x14ac:dyDescent="0.25">
      <c r="A444" s="9" t="s">
        <v>359</v>
      </c>
      <c r="B444" s="9" t="s">
        <v>291</v>
      </c>
      <c r="C444" s="4">
        <v>201005224</v>
      </c>
      <c r="D444" s="4" t="s">
        <v>424</v>
      </c>
      <c r="E444" s="4" t="str">
        <f>"104632010"</f>
        <v>104632010</v>
      </c>
      <c r="F444" s="10">
        <v>40437</v>
      </c>
      <c r="G444" s="11">
        <v>10449</v>
      </c>
      <c r="H444" s="11">
        <v>10449</v>
      </c>
      <c r="I444" s="4" t="s">
        <v>407</v>
      </c>
      <c r="J444" s="4" t="s">
        <v>408</v>
      </c>
      <c r="K444" s="11">
        <v>0</v>
      </c>
      <c r="L444" s="4"/>
      <c r="M444" s="4"/>
      <c r="N444" s="11">
        <v>0</v>
      </c>
      <c r="O444" s="4"/>
      <c r="P444" s="4"/>
      <c r="Q444" s="11">
        <v>0</v>
      </c>
      <c r="R444" s="4"/>
      <c r="S444" s="12"/>
    </row>
    <row r="445" spans="1:19" x14ac:dyDescent="0.25">
      <c r="A445" s="9" t="s">
        <v>359</v>
      </c>
      <c r="B445" s="9" t="s">
        <v>291</v>
      </c>
      <c r="C445" s="4">
        <v>201005236</v>
      </c>
      <c r="D445" s="4" t="s">
        <v>422</v>
      </c>
      <c r="E445" s="4" t="str">
        <f>"105052010"</f>
        <v>105052010</v>
      </c>
      <c r="F445" s="10">
        <v>40438</v>
      </c>
      <c r="G445" s="11">
        <v>26021.27</v>
      </c>
      <c r="H445" s="11">
        <v>9888</v>
      </c>
      <c r="I445" s="4" t="s">
        <v>407</v>
      </c>
      <c r="J445" s="4" t="s">
        <v>408</v>
      </c>
      <c r="K445" s="11">
        <v>0</v>
      </c>
      <c r="L445" s="4"/>
      <c r="M445" s="4"/>
      <c r="N445" s="11">
        <v>0</v>
      </c>
      <c r="O445" s="4"/>
      <c r="P445" s="4"/>
      <c r="Q445" s="11">
        <v>0</v>
      </c>
      <c r="R445" s="4"/>
      <c r="S445" s="12"/>
    </row>
    <row r="446" spans="1:19" x14ac:dyDescent="0.25">
      <c r="A446" s="9" t="s">
        <v>359</v>
      </c>
      <c r="B446" s="9" t="s">
        <v>291</v>
      </c>
      <c r="C446" s="4">
        <v>201005236</v>
      </c>
      <c r="D446" s="4" t="s">
        <v>422</v>
      </c>
      <c r="E446" s="4" t="str">
        <f>"105072010"</f>
        <v>105072010</v>
      </c>
      <c r="F446" s="10">
        <v>40438</v>
      </c>
      <c r="G446" s="11">
        <v>9168</v>
      </c>
      <c r="H446" s="11">
        <v>9168</v>
      </c>
      <c r="I446" s="4" t="s">
        <v>407</v>
      </c>
      <c r="J446" s="4" t="s">
        <v>408</v>
      </c>
      <c r="K446" s="11">
        <v>0</v>
      </c>
      <c r="L446" s="4"/>
      <c r="M446" s="4"/>
      <c r="N446" s="11">
        <v>0</v>
      </c>
      <c r="O446" s="4"/>
      <c r="P446" s="4"/>
      <c r="Q446" s="11">
        <v>0</v>
      </c>
      <c r="R446" s="4"/>
      <c r="S446" s="12"/>
    </row>
    <row r="447" spans="1:19" x14ac:dyDescent="0.25">
      <c r="A447" s="9" t="s">
        <v>359</v>
      </c>
      <c r="B447" s="9" t="s">
        <v>291</v>
      </c>
      <c r="C447" s="4">
        <v>201005236</v>
      </c>
      <c r="D447" s="4" t="s">
        <v>422</v>
      </c>
      <c r="E447" s="4" t="str">
        <f>"105092010"</f>
        <v>105092010</v>
      </c>
      <c r="F447" s="10">
        <v>40438</v>
      </c>
      <c r="G447" s="11">
        <v>6322</v>
      </c>
      <c r="H447" s="11">
        <v>6322</v>
      </c>
      <c r="I447" s="4" t="s">
        <v>407</v>
      </c>
      <c r="J447" s="4" t="s">
        <v>408</v>
      </c>
      <c r="K447" s="11">
        <v>0</v>
      </c>
      <c r="L447" s="4"/>
      <c r="M447" s="4"/>
      <c r="N447" s="11">
        <v>0</v>
      </c>
      <c r="O447" s="4"/>
      <c r="P447" s="4"/>
      <c r="Q447" s="11">
        <v>0</v>
      </c>
      <c r="R447" s="4"/>
      <c r="S447" s="12"/>
    </row>
    <row r="448" spans="1:19" x14ac:dyDescent="0.25">
      <c r="A448" s="9" t="s">
        <v>359</v>
      </c>
      <c r="B448" s="9" t="s">
        <v>291</v>
      </c>
      <c r="C448" s="4">
        <v>201005332</v>
      </c>
      <c r="D448" s="4" t="s">
        <v>425</v>
      </c>
      <c r="E448" s="4" t="str">
        <f>"106292010"</f>
        <v>106292010</v>
      </c>
      <c r="F448" s="10">
        <v>40417</v>
      </c>
      <c r="G448" s="11">
        <v>750000</v>
      </c>
      <c r="H448" s="11">
        <v>750000</v>
      </c>
      <c r="I448" s="4" t="s">
        <v>72</v>
      </c>
      <c r="J448" s="4" t="s">
        <v>73</v>
      </c>
      <c r="K448" s="11">
        <v>0</v>
      </c>
      <c r="L448" s="4"/>
      <c r="M448" s="4"/>
      <c r="N448" s="11">
        <v>0</v>
      </c>
      <c r="O448" s="4"/>
      <c r="P448" s="4"/>
      <c r="Q448" s="11">
        <v>0</v>
      </c>
      <c r="R448" s="4"/>
      <c r="S448" s="12"/>
    </row>
    <row r="449" spans="1:19" x14ac:dyDescent="0.25">
      <c r="A449" s="9" t="s">
        <v>359</v>
      </c>
      <c r="B449" s="9" t="s">
        <v>291</v>
      </c>
      <c r="C449" s="4">
        <v>201005648</v>
      </c>
      <c r="D449" s="4" t="s">
        <v>426</v>
      </c>
      <c r="E449" s="4" t="str">
        <f>"115412010"</f>
        <v>115412010</v>
      </c>
      <c r="F449" s="10">
        <v>40450</v>
      </c>
      <c r="G449" s="11">
        <v>250000</v>
      </c>
      <c r="H449" s="11">
        <v>250000</v>
      </c>
      <c r="I449" s="4" t="s">
        <v>72</v>
      </c>
      <c r="J449" s="4" t="s">
        <v>73</v>
      </c>
      <c r="K449" s="11">
        <v>0</v>
      </c>
      <c r="L449" s="4"/>
      <c r="M449" s="4"/>
      <c r="N449" s="11">
        <v>0</v>
      </c>
      <c r="O449" s="4"/>
      <c r="P449" s="4"/>
      <c r="Q449" s="11">
        <v>0</v>
      </c>
      <c r="R449" s="4"/>
      <c r="S449" s="12"/>
    </row>
    <row r="450" spans="1:19" x14ac:dyDescent="0.25">
      <c r="A450" s="9" t="s">
        <v>359</v>
      </c>
      <c r="B450" s="9" t="s">
        <v>291</v>
      </c>
      <c r="C450" s="4">
        <v>201005672</v>
      </c>
      <c r="D450" s="4" t="s">
        <v>427</v>
      </c>
      <c r="E450" s="4" t="str">
        <f>"111732010"</f>
        <v>111732010</v>
      </c>
      <c r="F450" s="10">
        <v>40443</v>
      </c>
      <c r="G450" s="11">
        <v>850000</v>
      </c>
      <c r="H450" s="11">
        <v>850000</v>
      </c>
      <c r="I450" s="4" t="s">
        <v>72</v>
      </c>
      <c r="J450" s="4" t="s">
        <v>73</v>
      </c>
      <c r="K450" s="11">
        <v>0</v>
      </c>
      <c r="L450" s="4"/>
      <c r="M450" s="4"/>
      <c r="N450" s="11">
        <v>0</v>
      </c>
      <c r="O450" s="4"/>
      <c r="P450" s="4"/>
      <c r="Q450" s="11">
        <v>0</v>
      </c>
      <c r="R450" s="4"/>
      <c r="S450" s="12"/>
    </row>
    <row r="451" spans="1:19" x14ac:dyDescent="0.25">
      <c r="A451" s="9" t="s">
        <v>428</v>
      </c>
      <c r="B451" s="9" t="s">
        <v>291</v>
      </c>
      <c r="C451" s="4">
        <v>201003593</v>
      </c>
      <c r="D451" s="4"/>
      <c r="E451" s="4" t="str">
        <f>"071352010"</f>
        <v>071352010</v>
      </c>
      <c r="F451" s="10">
        <v>40317</v>
      </c>
      <c r="G451" s="11">
        <v>29353.7</v>
      </c>
      <c r="H451" s="11">
        <v>29353.7</v>
      </c>
      <c r="I451" s="4" t="s">
        <v>142</v>
      </c>
      <c r="J451" s="4" t="s">
        <v>143</v>
      </c>
      <c r="K451" s="11">
        <v>0</v>
      </c>
      <c r="L451" s="4"/>
      <c r="M451" s="4"/>
      <c r="N451" s="11">
        <v>0</v>
      </c>
      <c r="O451" s="4"/>
      <c r="P451" s="4"/>
      <c r="Q451" s="11">
        <v>0</v>
      </c>
      <c r="R451" s="4"/>
      <c r="S451" s="12"/>
    </row>
    <row r="452" spans="1:19" x14ac:dyDescent="0.25">
      <c r="A452" s="9" t="s">
        <v>429</v>
      </c>
      <c r="B452" s="9" t="s">
        <v>291</v>
      </c>
      <c r="C452" s="4">
        <v>201004231</v>
      </c>
      <c r="D452" s="4"/>
      <c r="E452" s="4" t="str">
        <f>"086032010"</f>
        <v>086032010</v>
      </c>
      <c r="F452" s="10">
        <v>40354</v>
      </c>
      <c r="G452" s="11">
        <v>132976.92000000001</v>
      </c>
      <c r="H452" s="11">
        <v>132976.92000000001</v>
      </c>
      <c r="I452" s="4" t="s">
        <v>142</v>
      </c>
      <c r="J452" s="4" t="s">
        <v>143</v>
      </c>
      <c r="K452" s="11">
        <v>0</v>
      </c>
      <c r="L452" s="4"/>
      <c r="M452" s="4"/>
      <c r="N452" s="11">
        <v>0</v>
      </c>
      <c r="O452" s="4"/>
      <c r="P452" s="4"/>
      <c r="Q452" s="11">
        <v>0</v>
      </c>
      <c r="R452" s="4"/>
      <c r="S452" s="12"/>
    </row>
    <row r="453" spans="1:19" x14ac:dyDescent="0.25">
      <c r="A453" s="9" t="s">
        <v>430</v>
      </c>
      <c r="B453" s="9" t="s">
        <v>291</v>
      </c>
      <c r="C453" s="4">
        <v>201005153</v>
      </c>
      <c r="D453" s="4"/>
      <c r="E453" s="4" t="str">
        <f>"103692010"</f>
        <v>103692010</v>
      </c>
      <c r="F453" s="10">
        <v>40413</v>
      </c>
      <c r="G453" s="11">
        <v>350000</v>
      </c>
      <c r="H453" s="11">
        <v>350000</v>
      </c>
      <c r="I453" s="4" t="s">
        <v>142</v>
      </c>
      <c r="J453" s="4" t="s">
        <v>143</v>
      </c>
      <c r="K453" s="11">
        <v>0</v>
      </c>
      <c r="L453" s="4"/>
      <c r="M453" s="4"/>
      <c r="N453" s="11">
        <v>0</v>
      </c>
      <c r="O453" s="4"/>
      <c r="P453" s="4"/>
      <c r="Q453" s="11">
        <v>0</v>
      </c>
      <c r="R453" s="4"/>
      <c r="S453" s="12"/>
    </row>
    <row r="454" spans="1:19" x14ac:dyDescent="0.25">
      <c r="A454" s="9" t="s">
        <v>431</v>
      </c>
      <c r="B454" s="9" t="s">
        <v>291</v>
      </c>
      <c r="C454" s="4">
        <v>201001620</v>
      </c>
      <c r="D454" s="4"/>
      <c r="E454" s="4" t="str">
        <f>"032322010"</f>
        <v>032322010</v>
      </c>
      <c r="F454" s="10">
        <v>40199</v>
      </c>
      <c r="G454" s="11">
        <v>507960.23</v>
      </c>
      <c r="H454" s="11">
        <v>507960.23</v>
      </c>
      <c r="I454" s="4" t="s">
        <v>142</v>
      </c>
      <c r="J454" s="4" t="s">
        <v>143</v>
      </c>
      <c r="K454" s="11">
        <v>0</v>
      </c>
      <c r="L454" s="4"/>
      <c r="M454" s="4"/>
      <c r="N454" s="11">
        <v>0</v>
      </c>
      <c r="O454" s="4"/>
      <c r="P454" s="4"/>
      <c r="Q454" s="11">
        <v>0</v>
      </c>
      <c r="R454" s="4"/>
      <c r="S454" s="12"/>
    </row>
    <row r="455" spans="1:19" x14ac:dyDescent="0.25">
      <c r="A455" s="9" t="s">
        <v>432</v>
      </c>
      <c r="B455" s="9" t="s">
        <v>291</v>
      </c>
      <c r="C455" s="4">
        <v>201004444</v>
      </c>
      <c r="D455" s="4"/>
      <c r="E455" s="4" t="str">
        <f>"092962010"</f>
        <v>092962010</v>
      </c>
      <c r="F455" s="10">
        <v>40375</v>
      </c>
      <c r="G455" s="11">
        <v>150000</v>
      </c>
      <c r="H455" s="11">
        <v>150000</v>
      </c>
      <c r="I455" s="4" t="s">
        <v>38</v>
      </c>
      <c r="J455" s="4" t="s">
        <v>39</v>
      </c>
      <c r="K455" s="11">
        <v>0</v>
      </c>
      <c r="L455" s="4"/>
      <c r="M455" s="4"/>
      <c r="N455" s="11">
        <v>0</v>
      </c>
      <c r="O455" s="4"/>
      <c r="P455" s="4"/>
      <c r="Q455" s="11">
        <v>0</v>
      </c>
      <c r="R455" s="4"/>
      <c r="S455" s="12"/>
    </row>
    <row r="456" spans="1:19" x14ac:dyDescent="0.25">
      <c r="A456" s="9" t="s">
        <v>433</v>
      </c>
      <c r="B456" s="9" t="s">
        <v>291</v>
      </c>
      <c r="C456" s="4">
        <v>201000875</v>
      </c>
      <c r="D456" s="4" t="s">
        <v>434</v>
      </c>
      <c r="E456" s="4" t="str">
        <f>"016772010"</f>
        <v>016772010</v>
      </c>
      <c r="F456" s="10">
        <v>40150</v>
      </c>
      <c r="G456" s="11">
        <v>37969.550000000003</v>
      </c>
      <c r="H456" s="11">
        <v>37969.550000000003</v>
      </c>
      <c r="I456" s="4" t="s">
        <v>407</v>
      </c>
      <c r="J456" s="4" t="s">
        <v>408</v>
      </c>
      <c r="K456" s="11">
        <v>0</v>
      </c>
      <c r="L456" s="4"/>
      <c r="M456" s="4"/>
      <c r="N456" s="11">
        <v>0</v>
      </c>
      <c r="O456" s="4"/>
      <c r="P456" s="4"/>
      <c r="Q456" s="11">
        <v>0</v>
      </c>
      <c r="R456" s="4"/>
      <c r="S456" s="12"/>
    </row>
    <row r="457" spans="1:19" x14ac:dyDescent="0.25">
      <c r="A457" s="9" t="s">
        <v>433</v>
      </c>
      <c r="B457" s="9" t="s">
        <v>291</v>
      </c>
      <c r="C457" s="4">
        <v>201001306</v>
      </c>
      <c r="D457" s="4" t="s">
        <v>435</v>
      </c>
      <c r="E457" s="4" t="str">
        <f>"034482010"</f>
        <v>034482010</v>
      </c>
      <c r="F457" s="10">
        <v>40241</v>
      </c>
      <c r="G457" s="11">
        <v>331051.57</v>
      </c>
      <c r="H457" s="11">
        <v>331051.57</v>
      </c>
      <c r="I457" s="4" t="s">
        <v>30</v>
      </c>
      <c r="J457" s="4" t="s">
        <v>31</v>
      </c>
      <c r="K457" s="11">
        <v>0</v>
      </c>
      <c r="L457" s="4"/>
      <c r="M457" s="4"/>
      <c r="N457" s="11">
        <v>0</v>
      </c>
      <c r="O457" s="4"/>
      <c r="P457" s="4"/>
      <c r="Q457" s="11">
        <v>0</v>
      </c>
      <c r="R457" s="4"/>
      <c r="S457" s="12"/>
    </row>
    <row r="458" spans="1:19" x14ac:dyDescent="0.25">
      <c r="A458" s="9" t="s">
        <v>433</v>
      </c>
      <c r="B458" s="9" t="s">
        <v>291</v>
      </c>
      <c r="C458" s="4">
        <v>201001336</v>
      </c>
      <c r="D458" s="4" t="s">
        <v>436</v>
      </c>
      <c r="E458" s="4" t="str">
        <f>"046662010"</f>
        <v>046662010</v>
      </c>
      <c r="F458" s="10">
        <v>40252</v>
      </c>
      <c r="G458" s="11">
        <v>204311.72</v>
      </c>
      <c r="H458" s="11">
        <v>181017</v>
      </c>
      <c r="I458" s="4" t="s">
        <v>98</v>
      </c>
      <c r="J458" s="4" t="s">
        <v>99</v>
      </c>
      <c r="K458" s="11">
        <v>0</v>
      </c>
      <c r="L458" s="4"/>
      <c r="M458" s="4"/>
      <c r="N458" s="11">
        <v>0</v>
      </c>
      <c r="O458" s="4"/>
      <c r="P458" s="4"/>
      <c r="Q458" s="11">
        <v>23294.720000000001</v>
      </c>
      <c r="R458" s="4" t="s">
        <v>98</v>
      </c>
      <c r="S458" s="12" t="s">
        <v>99</v>
      </c>
    </row>
    <row r="459" spans="1:19" x14ac:dyDescent="0.25">
      <c r="A459" s="9" t="s">
        <v>433</v>
      </c>
      <c r="B459" s="9" t="s">
        <v>291</v>
      </c>
      <c r="C459" s="4">
        <v>201001981</v>
      </c>
      <c r="D459" s="4" t="s">
        <v>437</v>
      </c>
      <c r="E459" s="4" t="str">
        <f>"039722010"</f>
        <v>039722010</v>
      </c>
      <c r="F459" s="10">
        <v>40232</v>
      </c>
      <c r="G459" s="11">
        <v>275000</v>
      </c>
      <c r="H459" s="11">
        <v>275000</v>
      </c>
      <c r="I459" s="4" t="s">
        <v>30</v>
      </c>
      <c r="J459" s="4" t="s">
        <v>31</v>
      </c>
      <c r="K459" s="11">
        <v>0</v>
      </c>
      <c r="L459" s="4"/>
      <c r="M459" s="4"/>
      <c r="N459" s="11">
        <v>0</v>
      </c>
      <c r="O459" s="4"/>
      <c r="P459" s="4"/>
      <c r="Q459" s="11">
        <v>0</v>
      </c>
      <c r="R459" s="4"/>
      <c r="S459" s="12"/>
    </row>
    <row r="460" spans="1:19" x14ac:dyDescent="0.25">
      <c r="A460" s="9" t="s">
        <v>433</v>
      </c>
      <c r="B460" s="9" t="s">
        <v>291</v>
      </c>
      <c r="C460" s="4">
        <v>201002172</v>
      </c>
      <c r="D460" s="4" t="s">
        <v>438</v>
      </c>
      <c r="E460" s="4" t="str">
        <f>"042532010"</f>
        <v>042532010</v>
      </c>
      <c r="F460" s="10">
        <v>40246</v>
      </c>
      <c r="G460" s="11">
        <v>95000</v>
      </c>
      <c r="H460" s="11">
        <v>95000</v>
      </c>
      <c r="I460" s="4" t="s">
        <v>30</v>
      </c>
      <c r="J460" s="4" t="s">
        <v>31</v>
      </c>
      <c r="K460" s="11">
        <v>0</v>
      </c>
      <c r="L460" s="4"/>
      <c r="M460" s="4"/>
      <c r="N460" s="11">
        <v>0</v>
      </c>
      <c r="O460" s="4"/>
      <c r="P460" s="4"/>
      <c r="Q460" s="11">
        <v>0</v>
      </c>
      <c r="R460" s="4"/>
      <c r="S460" s="12"/>
    </row>
    <row r="461" spans="1:19" x14ac:dyDescent="0.25">
      <c r="A461" s="9" t="s">
        <v>433</v>
      </c>
      <c r="B461" s="9" t="s">
        <v>291</v>
      </c>
      <c r="C461" s="4">
        <v>201003116</v>
      </c>
      <c r="D461" s="4" t="s">
        <v>439</v>
      </c>
      <c r="E461" s="4" t="str">
        <f>"062042010"</f>
        <v>062042010</v>
      </c>
      <c r="F461" s="10">
        <v>40295</v>
      </c>
      <c r="G461" s="11">
        <v>15000</v>
      </c>
      <c r="H461" s="11">
        <v>15000</v>
      </c>
      <c r="I461" s="4" t="s">
        <v>30</v>
      </c>
      <c r="J461" s="4" t="s">
        <v>31</v>
      </c>
      <c r="K461" s="11">
        <v>0</v>
      </c>
      <c r="L461" s="4"/>
      <c r="M461" s="4"/>
      <c r="N461" s="11">
        <v>0</v>
      </c>
      <c r="O461" s="4"/>
      <c r="P461" s="4"/>
      <c r="Q461" s="11">
        <v>0</v>
      </c>
      <c r="R461" s="4"/>
      <c r="S461" s="12"/>
    </row>
    <row r="462" spans="1:19" x14ac:dyDescent="0.25">
      <c r="A462" s="9" t="s">
        <v>433</v>
      </c>
      <c r="B462" s="9" t="s">
        <v>291</v>
      </c>
      <c r="C462" s="4">
        <v>201003369</v>
      </c>
      <c r="D462" s="4" t="s">
        <v>440</v>
      </c>
      <c r="E462" s="4" t="str">
        <f>"069562010"</f>
        <v>069562010</v>
      </c>
      <c r="F462" s="10">
        <v>40316</v>
      </c>
      <c r="G462" s="11">
        <v>500000</v>
      </c>
      <c r="H462" s="11">
        <v>500000</v>
      </c>
      <c r="I462" s="4" t="s">
        <v>23</v>
      </c>
      <c r="J462" s="4" t="s">
        <v>24</v>
      </c>
      <c r="K462" s="11">
        <v>0</v>
      </c>
      <c r="L462" s="4"/>
      <c r="M462" s="4"/>
      <c r="N462" s="11">
        <v>0</v>
      </c>
      <c r="O462" s="4"/>
      <c r="P462" s="4"/>
      <c r="Q462" s="11">
        <v>0</v>
      </c>
      <c r="R462" s="4"/>
      <c r="S462" s="12"/>
    </row>
    <row r="463" spans="1:19" x14ac:dyDescent="0.25">
      <c r="A463" s="9" t="s">
        <v>433</v>
      </c>
      <c r="B463" s="9" t="s">
        <v>291</v>
      </c>
      <c r="C463" s="4">
        <v>201004798</v>
      </c>
      <c r="D463" s="4" t="s">
        <v>441</v>
      </c>
      <c r="E463" s="4" t="str">
        <f>"105852010"</f>
        <v>105852010</v>
      </c>
      <c r="F463" s="10">
        <v>40416</v>
      </c>
      <c r="G463" s="11">
        <v>367519.57</v>
      </c>
      <c r="H463" s="11">
        <v>21241</v>
      </c>
      <c r="I463" s="4" t="s">
        <v>104</v>
      </c>
      <c r="J463" s="4" t="s">
        <v>105</v>
      </c>
      <c r="K463" s="11">
        <v>197000</v>
      </c>
      <c r="L463" s="4" t="s">
        <v>104</v>
      </c>
      <c r="M463" s="4" t="s">
        <v>105</v>
      </c>
      <c r="N463" s="11">
        <v>149278.57</v>
      </c>
      <c r="O463" s="4" t="s">
        <v>104</v>
      </c>
      <c r="P463" s="4" t="s">
        <v>105</v>
      </c>
      <c r="Q463" s="11">
        <v>0</v>
      </c>
      <c r="R463" s="4"/>
      <c r="S463" s="12"/>
    </row>
    <row r="464" spans="1:19" x14ac:dyDescent="0.25">
      <c r="A464" s="9" t="s">
        <v>433</v>
      </c>
      <c r="B464" s="9" t="s">
        <v>291</v>
      </c>
      <c r="C464" s="4">
        <v>201005617</v>
      </c>
      <c r="D464" s="4" t="s">
        <v>442</v>
      </c>
      <c r="E464" s="4" t="str">
        <f>"114892010"</f>
        <v>114892010</v>
      </c>
      <c r="F464" s="10">
        <v>40449</v>
      </c>
      <c r="G464" s="11">
        <v>28414.1</v>
      </c>
      <c r="H464" s="11">
        <v>28414.1</v>
      </c>
      <c r="I464" s="4" t="s">
        <v>104</v>
      </c>
      <c r="J464" s="4" t="s">
        <v>105</v>
      </c>
      <c r="K464" s="11">
        <v>0</v>
      </c>
      <c r="L464" s="4"/>
      <c r="M464" s="4"/>
      <c r="N464" s="11">
        <v>0</v>
      </c>
      <c r="O464" s="4"/>
      <c r="P464" s="4"/>
      <c r="Q464" s="11">
        <v>0</v>
      </c>
      <c r="R464" s="4"/>
      <c r="S464" s="12"/>
    </row>
    <row r="465" spans="1:19" x14ac:dyDescent="0.25">
      <c r="A465" s="9" t="s">
        <v>443</v>
      </c>
      <c r="B465" s="9" t="s">
        <v>291</v>
      </c>
      <c r="C465" s="4">
        <v>201003965</v>
      </c>
      <c r="D465" s="4" t="s">
        <v>444</v>
      </c>
      <c r="E465" s="4" t="str">
        <f>"086962010"</f>
        <v>086962010</v>
      </c>
      <c r="F465" s="10">
        <v>40357</v>
      </c>
      <c r="G465" s="11">
        <v>543</v>
      </c>
      <c r="H465" s="11">
        <v>0</v>
      </c>
      <c r="I465" s="4"/>
      <c r="J465" s="4"/>
      <c r="K465" s="11">
        <v>0</v>
      </c>
      <c r="L465" s="4"/>
      <c r="M465" s="4"/>
      <c r="N465" s="11">
        <v>543</v>
      </c>
      <c r="O465" s="4" t="s">
        <v>56</v>
      </c>
      <c r="P465" s="4" t="s">
        <v>57</v>
      </c>
      <c r="Q465" s="11">
        <v>0</v>
      </c>
      <c r="R465" s="4"/>
      <c r="S465" s="12"/>
    </row>
    <row r="466" spans="1:19" x14ac:dyDescent="0.25">
      <c r="A466" s="9" t="s">
        <v>445</v>
      </c>
      <c r="B466" s="9" t="s">
        <v>291</v>
      </c>
      <c r="C466" s="4">
        <v>201000219</v>
      </c>
      <c r="D466" s="4" t="s">
        <v>446</v>
      </c>
      <c r="E466" s="4" t="str">
        <f>"004812010"</f>
        <v>004812010</v>
      </c>
      <c r="F466" s="10">
        <v>40106</v>
      </c>
      <c r="G466" s="11">
        <v>571670.52</v>
      </c>
      <c r="H466" s="11">
        <v>571670.52</v>
      </c>
      <c r="I466" s="4" t="s">
        <v>88</v>
      </c>
      <c r="J466" s="4" t="s">
        <v>89</v>
      </c>
      <c r="K466" s="11">
        <v>0</v>
      </c>
      <c r="L466" s="4"/>
      <c r="M466" s="4"/>
      <c r="N466" s="11">
        <v>0</v>
      </c>
      <c r="O466" s="4"/>
      <c r="P466" s="4"/>
      <c r="Q466" s="11">
        <v>0</v>
      </c>
      <c r="R466" s="4"/>
      <c r="S466" s="12"/>
    </row>
    <row r="467" spans="1:19" x14ac:dyDescent="0.25">
      <c r="A467" s="9" t="s">
        <v>445</v>
      </c>
      <c r="B467" s="9" t="s">
        <v>291</v>
      </c>
      <c r="C467" s="4">
        <v>201000219</v>
      </c>
      <c r="D467" s="4" t="s">
        <v>446</v>
      </c>
      <c r="E467" s="4" t="str">
        <f>"004832010"</f>
        <v>004832010</v>
      </c>
      <c r="F467" s="10">
        <v>40105</v>
      </c>
      <c r="G467" s="11">
        <v>220412</v>
      </c>
      <c r="H467" s="11">
        <v>220412</v>
      </c>
      <c r="I467" s="4" t="s">
        <v>88</v>
      </c>
      <c r="J467" s="4" t="s">
        <v>89</v>
      </c>
      <c r="K467" s="11">
        <v>0</v>
      </c>
      <c r="L467" s="4"/>
      <c r="M467" s="4"/>
      <c r="N467" s="11">
        <v>0</v>
      </c>
      <c r="O467" s="4"/>
      <c r="P467" s="4"/>
      <c r="Q467" s="11">
        <v>0</v>
      </c>
      <c r="R467" s="4"/>
      <c r="S467" s="12"/>
    </row>
    <row r="468" spans="1:19" x14ac:dyDescent="0.25">
      <c r="A468" s="9" t="s">
        <v>445</v>
      </c>
      <c r="B468" s="9" t="s">
        <v>291</v>
      </c>
      <c r="C468" s="4">
        <v>201000221</v>
      </c>
      <c r="D468" s="4"/>
      <c r="E468" s="4" t="str">
        <f>"004852010"</f>
        <v>004852010</v>
      </c>
      <c r="F468" s="10">
        <v>40105</v>
      </c>
      <c r="G468" s="11">
        <v>15497.85</v>
      </c>
      <c r="H468" s="11">
        <v>15497.85</v>
      </c>
      <c r="I468" s="4" t="s">
        <v>88</v>
      </c>
      <c r="J468" s="4" t="s">
        <v>89</v>
      </c>
      <c r="K468" s="11">
        <v>0</v>
      </c>
      <c r="L468" s="4"/>
      <c r="M468" s="4"/>
      <c r="N468" s="11">
        <v>0</v>
      </c>
      <c r="O468" s="4"/>
      <c r="P468" s="4"/>
      <c r="Q468" s="11">
        <v>0</v>
      </c>
      <c r="R468" s="4"/>
      <c r="S468" s="12"/>
    </row>
    <row r="469" spans="1:19" x14ac:dyDescent="0.25">
      <c r="A469" s="9" t="s">
        <v>445</v>
      </c>
      <c r="B469" s="9" t="s">
        <v>291</v>
      </c>
      <c r="C469" s="4">
        <v>201000370</v>
      </c>
      <c r="D469" s="4" t="s">
        <v>447</v>
      </c>
      <c r="E469" s="4" t="str">
        <f>"016782010"</f>
        <v>016782010</v>
      </c>
      <c r="F469" s="10">
        <v>40149</v>
      </c>
      <c r="G469" s="11">
        <v>975000</v>
      </c>
      <c r="H469" s="11">
        <v>975000</v>
      </c>
      <c r="I469" s="4" t="s">
        <v>72</v>
      </c>
      <c r="J469" s="4" t="s">
        <v>73</v>
      </c>
      <c r="K469" s="11">
        <v>0</v>
      </c>
      <c r="L469" s="4"/>
      <c r="M469" s="4"/>
      <c r="N469" s="11">
        <v>0</v>
      </c>
      <c r="O469" s="4"/>
      <c r="P469" s="4"/>
      <c r="Q469" s="11">
        <v>0</v>
      </c>
      <c r="R469" s="4"/>
      <c r="S469" s="12"/>
    </row>
    <row r="470" spans="1:19" x14ac:dyDescent="0.25">
      <c r="A470" s="9" t="s">
        <v>445</v>
      </c>
      <c r="B470" s="9" t="s">
        <v>291</v>
      </c>
      <c r="C470" s="4">
        <v>201000499</v>
      </c>
      <c r="D470" s="4"/>
      <c r="E470" s="4" t="str">
        <f>"011292010"</f>
        <v>011292010</v>
      </c>
      <c r="F470" s="10">
        <v>40129</v>
      </c>
      <c r="G470" s="11">
        <v>460.18</v>
      </c>
      <c r="H470" s="11">
        <v>0</v>
      </c>
      <c r="I470" s="4"/>
      <c r="J470" s="4"/>
      <c r="K470" s="11">
        <v>0</v>
      </c>
      <c r="L470" s="4"/>
      <c r="M470" s="4"/>
      <c r="N470" s="11">
        <v>460.18</v>
      </c>
      <c r="O470" s="4" t="s">
        <v>56</v>
      </c>
      <c r="P470" s="4" t="s">
        <v>57</v>
      </c>
      <c r="Q470" s="11">
        <v>0</v>
      </c>
      <c r="R470" s="4"/>
      <c r="S470" s="12"/>
    </row>
    <row r="471" spans="1:19" x14ac:dyDescent="0.25">
      <c r="A471" s="9" t="s">
        <v>445</v>
      </c>
      <c r="B471" s="9" t="s">
        <v>445</v>
      </c>
      <c r="C471" s="4">
        <v>201000792</v>
      </c>
      <c r="D471" s="4"/>
      <c r="E471" s="4" t="str">
        <f>"014662010"</f>
        <v>014662010</v>
      </c>
      <c r="F471" s="10">
        <v>40141</v>
      </c>
      <c r="G471" s="11">
        <v>4183.3100000000004</v>
      </c>
      <c r="H471" s="11">
        <v>4183.3100000000004</v>
      </c>
      <c r="I471" s="4" t="s">
        <v>366</v>
      </c>
      <c r="J471" s="4" t="s">
        <v>367</v>
      </c>
      <c r="K471" s="11">
        <v>0</v>
      </c>
      <c r="L471" s="4"/>
      <c r="M471" s="4"/>
      <c r="N471" s="11">
        <v>0</v>
      </c>
      <c r="O471" s="4"/>
      <c r="P471" s="4"/>
      <c r="Q471" s="11">
        <v>0</v>
      </c>
      <c r="R471" s="4"/>
      <c r="S471" s="12"/>
    </row>
    <row r="472" spans="1:19" x14ac:dyDescent="0.25">
      <c r="A472" s="9" t="s">
        <v>445</v>
      </c>
      <c r="B472" s="9" t="s">
        <v>291</v>
      </c>
      <c r="C472" s="4">
        <v>201000895</v>
      </c>
      <c r="D472" s="4" t="s">
        <v>448</v>
      </c>
      <c r="E472" s="4" t="str">
        <f>"019722010"</f>
        <v>019722010</v>
      </c>
      <c r="F472" s="10">
        <v>40156</v>
      </c>
      <c r="G472" s="11">
        <v>4375000</v>
      </c>
      <c r="H472" s="11">
        <v>4375000</v>
      </c>
      <c r="I472" s="4" t="s">
        <v>72</v>
      </c>
      <c r="J472" s="4" t="s">
        <v>73</v>
      </c>
      <c r="K472" s="11">
        <v>0</v>
      </c>
      <c r="L472" s="4"/>
      <c r="M472" s="4"/>
      <c r="N472" s="11">
        <v>0</v>
      </c>
      <c r="O472" s="4"/>
      <c r="P472" s="4"/>
      <c r="Q472" s="11">
        <v>0</v>
      </c>
      <c r="R472" s="4"/>
      <c r="S472" s="12"/>
    </row>
    <row r="473" spans="1:19" x14ac:dyDescent="0.25">
      <c r="A473" s="9" t="s">
        <v>445</v>
      </c>
      <c r="B473" s="9" t="s">
        <v>291</v>
      </c>
      <c r="C473" s="4">
        <v>201000964</v>
      </c>
      <c r="D473" s="4" t="s">
        <v>449</v>
      </c>
      <c r="E473" s="4" t="str">
        <f>"019742010"</f>
        <v>019742010</v>
      </c>
      <c r="F473" s="10">
        <v>40156</v>
      </c>
      <c r="G473" s="11">
        <v>1500000</v>
      </c>
      <c r="H473" s="11">
        <v>1500000</v>
      </c>
      <c r="I473" s="4" t="s">
        <v>72</v>
      </c>
      <c r="J473" s="4" t="s">
        <v>73</v>
      </c>
      <c r="K473" s="11">
        <v>0</v>
      </c>
      <c r="L473" s="4"/>
      <c r="M473" s="4"/>
      <c r="N473" s="11">
        <v>0</v>
      </c>
      <c r="O473" s="4"/>
      <c r="P473" s="4"/>
      <c r="Q473" s="11">
        <v>0</v>
      </c>
      <c r="R473" s="4"/>
      <c r="S473" s="12"/>
    </row>
    <row r="474" spans="1:19" x14ac:dyDescent="0.25">
      <c r="A474" s="9" t="s">
        <v>445</v>
      </c>
      <c r="B474" s="9" t="s">
        <v>291</v>
      </c>
      <c r="C474" s="4">
        <v>201001153</v>
      </c>
      <c r="D474" s="4" t="s">
        <v>450</v>
      </c>
      <c r="E474" s="4" t="str">
        <f>"022292010"</f>
        <v>022292010</v>
      </c>
      <c r="F474" s="10">
        <v>40164</v>
      </c>
      <c r="G474" s="11">
        <v>70000</v>
      </c>
      <c r="H474" s="11">
        <v>70000</v>
      </c>
      <c r="I474" s="4" t="s">
        <v>23</v>
      </c>
      <c r="J474" s="4" t="s">
        <v>24</v>
      </c>
      <c r="K474" s="11">
        <v>0</v>
      </c>
      <c r="L474" s="4"/>
      <c r="M474" s="4"/>
      <c r="N474" s="11">
        <v>0</v>
      </c>
      <c r="O474" s="4"/>
      <c r="P474" s="4"/>
      <c r="Q474" s="11">
        <v>0</v>
      </c>
      <c r="R474" s="4"/>
      <c r="S474" s="12"/>
    </row>
    <row r="475" spans="1:19" x14ac:dyDescent="0.25">
      <c r="A475" s="9" t="s">
        <v>445</v>
      </c>
      <c r="B475" s="9" t="s">
        <v>291</v>
      </c>
      <c r="C475" s="4">
        <v>201001164</v>
      </c>
      <c r="D475" s="4" t="s">
        <v>451</v>
      </c>
      <c r="E475" s="4" t="str">
        <f>"022872010"</f>
        <v>022872010</v>
      </c>
      <c r="F475" s="10">
        <v>40165</v>
      </c>
      <c r="G475" s="11">
        <v>176000</v>
      </c>
      <c r="H475" s="11">
        <v>176000</v>
      </c>
      <c r="I475" s="4" t="s">
        <v>72</v>
      </c>
      <c r="J475" s="4" t="s">
        <v>73</v>
      </c>
      <c r="K475" s="11">
        <v>0</v>
      </c>
      <c r="L475" s="4"/>
      <c r="M475" s="4"/>
      <c r="N475" s="11">
        <v>0</v>
      </c>
      <c r="O475" s="4"/>
      <c r="P475" s="4"/>
      <c r="Q475" s="11">
        <v>0</v>
      </c>
      <c r="R475" s="4"/>
      <c r="S475" s="12"/>
    </row>
    <row r="476" spans="1:19" x14ac:dyDescent="0.25">
      <c r="A476" s="9" t="s">
        <v>445</v>
      </c>
      <c r="B476" s="9" t="s">
        <v>291</v>
      </c>
      <c r="C476" s="4">
        <v>201001211</v>
      </c>
      <c r="D476" s="4" t="s">
        <v>452</v>
      </c>
      <c r="E476" s="4" t="str">
        <f>"024012010"</f>
        <v>024012010</v>
      </c>
      <c r="F476" s="10">
        <v>40170</v>
      </c>
      <c r="G476" s="11">
        <v>1500000</v>
      </c>
      <c r="H476" s="11">
        <v>1500000</v>
      </c>
      <c r="I476" s="4" t="s">
        <v>72</v>
      </c>
      <c r="J476" s="4" t="s">
        <v>73</v>
      </c>
      <c r="K476" s="11">
        <v>0</v>
      </c>
      <c r="L476" s="4"/>
      <c r="M476" s="4"/>
      <c r="N476" s="11">
        <v>0</v>
      </c>
      <c r="O476" s="4"/>
      <c r="P476" s="4"/>
      <c r="Q476" s="11">
        <v>0</v>
      </c>
      <c r="R476" s="4"/>
      <c r="S476" s="12"/>
    </row>
    <row r="477" spans="1:19" x14ac:dyDescent="0.25">
      <c r="A477" s="9" t="s">
        <v>445</v>
      </c>
      <c r="B477" s="9" t="s">
        <v>291</v>
      </c>
      <c r="C477" s="4">
        <v>201001240</v>
      </c>
      <c r="D477" s="4" t="s">
        <v>453</v>
      </c>
      <c r="E477" s="4" t="str">
        <f>"025132010"</f>
        <v>025132010</v>
      </c>
      <c r="F477" s="10">
        <v>40177</v>
      </c>
      <c r="G477" s="11">
        <v>7000</v>
      </c>
      <c r="H477" s="11">
        <v>7000</v>
      </c>
      <c r="I477" s="4" t="s">
        <v>23</v>
      </c>
      <c r="J477" s="4" t="s">
        <v>24</v>
      </c>
      <c r="K477" s="11">
        <v>0</v>
      </c>
      <c r="L477" s="4"/>
      <c r="M477" s="4"/>
      <c r="N477" s="11">
        <v>0</v>
      </c>
      <c r="O477" s="4"/>
      <c r="P477" s="4"/>
      <c r="Q477" s="11">
        <v>0</v>
      </c>
      <c r="R477" s="4"/>
      <c r="S477" s="12"/>
    </row>
    <row r="478" spans="1:19" x14ac:dyDescent="0.25">
      <c r="A478" s="9" t="s">
        <v>445</v>
      </c>
      <c r="B478" s="9" t="s">
        <v>291</v>
      </c>
      <c r="C478" s="4">
        <v>201001590</v>
      </c>
      <c r="D478" s="4" t="s">
        <v>454</v>
      </c>
      <c r="E478" s="4" t="str">
        <f>"030732010"</f>
        <v>030732010</v>
      </c>
      <c r="F478" s="10">
        <v>40193</v>
      </c>
      <c r="G478" s="11">
        <v>20000</v>
      </c>
      <c r="H478" s="11">
        <v>20000</v>
      </c>
      <c r="I478" s="4" t="s">
        <v>72</v>
      </c>
      <c r="J478" s="4" t="s">
        <v>73</v>
      </c>
      <c r="K478" s="11">
        <v>0</v>
      </c>
      <c r="L478" s="4"/>
      <c r="M478" s="4"/>
      <c r="N478" s="11">
        <v>0</v>
      </c>
      <c r="O478" s="4"/>
      <c r="P478" s="4"/>
      <c r="Q478" s="11">
        <v>0</v>
      </c>
      <c r="R478" s="4"/>
      <c r="S478" s="12"/>
    </row>
    <row r="479" spans="1:19" x14ac:dyDescent="0.25">
      <c r="A479" s="9" t="s">
        <v>445</v>
      </c>
      <c r="B479" s="9" t="s">
        <v>291</v>
      </c>
      <c r="C479" s="4">
        <v>201001660</v>
      </c>
      <c r="D479" s="4" t="s">
        <v>455</v>
      </c>
      <c r="E479" s="4" t="str">
        <f>"032362010"</f>
        <v>032362010</v>
      </c>
      <c r="F479" s="10">
        <v>40200</v>
      </c>
      <c r="G479" s="11">
        <v>5457.37</v>
      </c>
      <c r="H479" s="11">
        <v>5457.37</v>
      </c>
      <c r="I479" s="4" t="s">
        <v>23</v>
      </c>
      <c r="J479" s="4" t="s">
        <v>24</v>
      </c>
      <c r="K479" s="11">
        <v>0</v>
      </c>
      <c r="L479" s="4"/>
      <c r="M479" s="4"/>
      <c r="N479" s="11">
        <v>0</v>
      </c>
      <c r="O479" s="4"/>
      <c r="P479" s="4"/>
      <c r="Q479" s="11">
        <v>0</v>
      </c>
      <c r="R479" s="4"/>
      <c r="S479" s="12"/>
    </row>
    <row r="480" spans="1:19" x14ac:dyDescent="0.25">
      <c r="A480" s="9" t="s">
        <v>445</v>
      </c>
      <c r="B480" s="9" t="s">
        <v>291</v>
      </c>
      <c r="C480" s="4">
        <v>201001860</v>
      </c>
      <c r="D480" s="4" t="s">
        <v>456</v>
      </c>
      <c r="E480" s="4" t="str">
        <f>"043392010"</f>
        <v>043392010</v>
      </c>
      <c r="F480" s="10">
        <v>40241</v>
      </c>
      <c r="G480" s="11">
        <v>10000</v>
      </c>
      <c r="H480" s="11">
        <v>10000</v>
      </c>
      <c r="I480" s="4" t="s">
        <v>68</v>
      </c>
      <c r="J480" s="4" t="s">
        <v>69</v>
      </c>
      <c r="K480" s="11">
        <v>0</v>
      </c>
      <c r="L480" s="4"/>
      <c r="M480" s="4"/>
      <c r="N480" s="11">
        <v>0</v>
      </c>
      <c r="O480" s="4"/>
      <c r="P480" s="4"/>
      <c r="Q480" s="11">
        <v>0</v>
      </c>
      <c r="R480" s="4"/>
      <c r="S480" s="12"/>
    </row>
    <row r="481" spans="1:19" x14ac:dyDescent="0.25">
      <c r="A481" s="9" t="s">
        <v>445</v>
      </c>
      <c r="B481" s="9" t="s">
        <v>291</v>
      </c>
      <c r="C481" s="4">
        <v>201002157</v>
      </c>
      <c r="D481" s="4" t="s">
        <v>457</v>
      </c>
      <c r="E481" s="4" t="str">
        <f>"042992010"</f>
        <v>042992010</v>
      </c>
      <c r="F481" s="10">
        <v>40240</v>
      </c>
      <c r="G481" s="11">
        <v>9000</v>
      </c>
      <c r="H481" s="11">
        <v>9000</v>
      </c>
      <c r="I481" s="4" t="s">
        <v>23</v>
      </c>
      <c r="J481" s="4" t="s">
        <v>24</v>
      </c>
      <c r="K481" s="11">
        <v>0</v>
      </c>
      <c r="L481" s="4"/>
      <c r="M481" s="4"/>
      <c r="N481" s="11">
        <v>0</v>
      </c>
      <c r="O481" s="4"/>
      <c r="P481" s="4"/>
      <c r="Q481" s="11">
        <v>0</v>
      </c>
      <c r="R481" s="4"/>
      <c r="S481" s="12"/>
    </row>
    <row r="482" spans="1:19" x14ac:dyDescent="0.25">
      <c r="A482" s="9" t="s">
        <v>445</v>
      </c>
      <c r="B482" s="9" t="s">
        <v>291</v>
      </c>
      <c r="C482" s="4">
        <v>201002163</v>
      </c>
      <c r="D482" s="4" t="s">
        <v>458</v>
      </c>
      <c r="E482" s="4" t="str">
        <f>"042292010"</f>
        <v>042292010</v>
      </c>
      <c r="F482" s="10">
        <v>40246</v>
      </c>
      <c r="G482" s="11">
        <v>10000</v>
      </c>
      <c r="H482" s="11">
        <v>10000</v>
      </c>
      <c r="I482" s="4" t="s">
        <v>30</v>
      </c>
      <c r="J482" s="4" t="s">
        <v>31</v>
      </c>
      <c r="K482" s="11">
        <v>0</v>
      </c>
      <c r="L482" s="4"/>
      <c r="M482" s="4"/>
      <c r="N482" s="11">
        <v>0</v>
      </c>
      <c r="O482" s="4"/>
      <c r="P482" s="4"/>
      <c r="Q482" s="11">
        <v>0</v>
      </c>
      <c r="R482" s="4"/>
      <c r="S482" s="12"/>
    </row>
    <row r="483" spans="1:19" x14ac:dyDescent="0.25">
      <c r="A483" s="9" t="s">
        <v>445</v>
      </c>
      <c r="B483" s="9" t="s">
        <v>291</v>
      </c>
      <c r="C483" s="4">
        <v>201002200</v>
      </c>
      <c r="D483" s="4"/>
      <c r="E483" s="4" t="str">
        <f>"045162010"</f>
        <v>045162010</v>
      </c>
      <c r="F483" s="10">
        <v>40246</v>
      </c>
      <c r="G483" s="11">
        <v>1325709.1399999999</v>
      </c>
      <c r="H483" s="11">
        <v>818256.87</v>
      </c>
      <c r="I483" s="4" t="s">
        <v>98</v>
      </c>
      <c r="J483" s="4" t="s">
        <v>99</v>
      </c>
      <c r="K483" s="11">
        <v>0</v>
      </c>
      <c r="L483" s="4"/>
      <c r="M483" s="4"/>
      <c r="N483" s="11">
        <v>0</v>
      </c>
      <c r="O483" s="4"/>
      <c r="P483" s="4"/>
      <c r="Q483" s="11">
        <v>507452.27</v>
      </c>
      <c r="R483" s="4" t="s">
        <v>98</v>
      </c>
      <c r="S483" s="12" t="s">
        <v>99</v>
      </c>
    </row>
    <row r="484" spans="1:19" x14ac:dyDescent="0.25">
      <c r="A484" s="9" t="s">
        <v>445</v>
      </c>
      <c r="B484" s="9" t="s">
        <v>291</v>
      </c>
      <c r="C484" s="4">
        <v>201002242</v>
      </c>
      <c r="D484" s="4" t="s">
        <v>459</v>
      </c>
      <c r="E484" s="4" t="str">
        <f>"057812010"</f>
        <v>057812010</v>
      </c>
      <c r="F484" s="10">
        <v>40283</v>
      </c>
      <c r="G484" s="11">
        <v>150000</v>
      </c>
      <c r="H484" s="11">
        <v>150000</v>
      </c>
      <c r="I484" s="4" t="s">
        <v>72</v>
      </c>
      <c r="J484" s="4" t="s">
        <v>73</v>
      </c>
      <c r="K484" s="11">
        <v>0</v>
      </c>
      <c r="L484" s="4"/>
      <c r="M484" s="4"/>
      <c r="N484" s="11">
        <v>0</v>
      </c>
      <c r="O484" s="4"/>
      <c r="P484" s="4"/>
      <c r="Q484" s="11">
        <v>0</v>
      </c>
      <c r="R484" s="4"/>
      <c r="S484" s="12"/>
    </row>
    <row r="485" spans="1:19" x14ac:dyDescent="0.25">
      <c r="A485" s="9" t="s">
        <v>445</v>
      </c>
      <c r="B485" s="9" t="s">
        <v>291</v>
      </c>
      <c r="C485" s="4">
        <v>201002374</v>
      </c>
      <c r="D485" s="4" t="s">
        <v>446</v>
      </c>
      <c r="E485" s="4" t="str">
        <f>"048602010"</f>
        <v>048602010</v>
      </c>
      <c r="F485" s="10">
        <v>40255</v>
      </c>
      <c r="G485" s="11">
        <v>356990.03</v>
      </c>
      <c r="H485" s="11">
        <v>356990.03</v>
      </c>
      <c r="I485" s="4" t="s">
        <v>88</v>
      </c>
      <c r="J485" s="4" t="s">
        <v>89</v>
      </c>
      <c r="K485" s="11">
        <v>0</v>
      </c>
      <c r="L485" s="4"/>
      <c r="M485" s="4"/>
      <c r="N485" s="11">
        <v>0</v>
      </c>
      <c r="O485" s="4"/>
      <c r="P485" s="4"/>
      <c r="Q485" s="11">
        <v>0</v>
      </c>
      <c r="R485" s="4"/>
      <c r="S485" s="12"/>
    </row>
    <row r="486" spans="1:19" x14ac:dyDescent="0.25">
      <c r="A486" s="9" t="s">
        <v>445</v>
      </c>
      <c r="B486" s="9" t="s">
        <v>291</v>
      </c>
      <c r="C486" s="4">
        <v>201002374</v>
      </c>
      <c r="D486" s="4" t="s">
        <v>446</v>
      </c>
      <c r="E486" s="4" t="str">
        <f>"048622010"</f>
        <v>048622010</v>
      </c>
      <c r="F486" s="10">
        <v>40259</v>
      </c>
      <c r="G486" s="11">
        <v>57542.17</v>
      </c>
      <c r="H486" s="11">
        <v>57542.17</v>
      </c>
      <c r="I486" s="4" t="s">
        <v>88</v>
      </c>
      <c r="J486" s="4" t="s">
        <v>89</v>
      </c>
      <c r="K486" s="11">
        <v>0</v>
      </c>
      <c r="L486" s="4"/>
      <c r="M486" s="4"/>
      <c r="N486" s="11">
        <v>0</v>
      </c>
      <c r="O486" s="4"/>
      <c r="P486" s="4"/>
      <c r="Q486" s="11">
        <v>0</v>
      </c>
      <c r="R486" s="4"/>
      <c r="S486" s="12"/>
    </row>
    <row r="487" spans="1:19" x14ac:dyDescent="0.25">
      <c r="A487" s="9" t="s">
        <v>445</v>
      </c>
      <c r="B487" s="9" t="s">
        <v>291</v>
      </c>
      <c r="C487" s="4">
        <v>201002375</v>
      </c>
      <c r="D487" s="4" t="s">
        <v>460</v>
      </c>
      <c r="E487" s="4" t="str">
        <f>"047502010"</f>
        <v>047502010</v>
      </c>
      <c r="F487" s="10">
        <v>40253</v>
      </c>
      <c r="G487" s="11">
        <v>4325000</v>
      </c>
      <c r="H487" s="11">
        <v>4325000</v>
      </c>
      <c r="I487" s="4" t="s">
        <v>98</v>
      </c>
      <c r="J487" s="4" t="s">
        <v>99</v>
      </c>
      <c r="K487" s="11">
        <v>0</v>
      </c>
      <c r="L487" s="4"/>
      <c r="M487" s="4"/>
      <c r="N487" s="11">
        <v>0</v>
      </c>
      <c r="O487" s="4"/>
      <c r="P487" s="4"/>
      <c r="Q487" s="11">
        <v>0</v>
      </c>
      <c r="R487" s="4"/>
      <c r="S487" s="12"/>
    </row>
    <row r="488" spans="1:19" x14ac:dyDescent="0.25">
      <c r="A488" s="9" t="s">
        <v>445</v>
      </c>
      <c r="B488" s="9" t="s">
        <v>291</v>
      </c>
      <c r="C488" s="4">
        <v>201002396</v>
      </c>
      <c r="D488" s="4" t="s">
        <v>461</v>
      </c>
      <c r="E488" s="4" t="str">
        <f>"047482010"</f>
        <v>047482010</v>
      </c>
      <c r="F488" s="10">
        <v>40253</v>
      </c>
      <c r="G488" s="11">
        <v>40000</v>
      </c>
      <c r="H488" s="11">
        <v>40000</v>
      </c>
      <c r="I488" s="4" t="s">
        <v>23</v>
      </c>
      <c r="J488" s="4" t="s">
        <v>24</v>
      </c>
      <c r="K488" s="11">
        <v>0</v>
      </c>
      <c r="L488" s="4"/>
      <c r="M488" s="4"/>
      <c r="N488" s="11">
        <v>0</v>
      </c>
      <c r="O488" s="4"/>
      <c r="P488" s="4"/>
      <c r="Q488" s="11">
        <v>0</v>
      </c>
      <c r="R488" s="4"/>
      <c r="S488" s="12"/>
    </row>
    <row r="489" spans="1:19" x14ac:dyDescent="0.25">
      <c r="A489" s="9" t="s">
        <v>445</v>
      </c>
      <c r="B489" s="9" t="s">
        <v>291</v>
      </c>
      <c r="C489" s="4">
        <v>201002458</v>
      </c>
      <c r="D489" s="4" t="s">
        <v>460</v>
      </c>
      <c r="E489" s="4" t="str">
        <f>"051682010"</f>
        <v>051682010</v>
      </c>
      <c r="F489" s="10">
        <v>40263</v>
      </c>
      <c r="G489" s="11">
        <v>272703.69</v>
      </c>
      <c r="H489" s="11">
        <v>210000</v>
      </c>
      <c r="I489" s="4" t="s">
        <v>98</v>
      </c>
      <c r="J489" s="4" t="s">
        <v>99</v>
      </c>
      <c r="K489" s="11">
        <v>0</v>
      </c>
      <c r="L489" s="4"/>
      <c r="M489" s="4"/>
      <c r="N489" s="11">
        <v>0</v>
      </c>
      <c r="O489" s="4"/>
      <c r="P489" s="4"/>
      <c r="Q489" s="11">
        <v>62703.69</v>
      </c>
      <c r="R489" s="4" t="s">
        <v>98</v>
      </c>
      <c r="S489" s="12" t="s">
        <v>99</v>
      </c>
    </row>
    <row r="490" spans="1:19" x14ac:dyDescent="0.25">
      <c r="A490" s="9" t="s">
        <v>445</v>
      </c>
      <c r="B490" s="9" t="s">
        <v>291</v>
      </c>
      <c r="C490" s="4">
        <v>201002616</v>
      </c>
      <c r="D490" s="4"/>
      <c r="E490" s="4" t="str">
        <f>"056932010"</f>
        <v>056932010</v>
      </c>
      <c r="F490" s="10">
        <v>40281</v>
      </c>
      <c r="G490" s="11">
        <v>3957000</v>
      </c>
      <c r="H490" s="11">
        <v>3957000</v>
      </c>
      <c r="I490" s="4" t="s">
        <v>98</v>
      </c>
      <c r="J490" s="4" t="s">
        <v>99</v>
      </c>
      <c r="K490" s="11">
        <v>0</v>
      </c>
      <c r="L490" s="4"/>
      <c r="M490" s="4"/>
      <c r="N490" s="11">
        <v>0</v>
      </c>
      <c r="O490" s="4"/>
      <c r="P490" s="4"/>
      <c r="Q490" s="11">
        <v>0</v>
      </c>
      <c r="R490" s="4"/>
      <c r="S490" s="12"/>
    </row>
    <row r="491" spans="1:19" x14ac:dyDescent="0.25">
      <c r="A491" s="9" t="s">
        <v>445</v>
      </c>
      <c r="B491" s="9" t="s">
        <v>291</v>
      </c>
      <c r="C491" s="4">
        <v>201002681</v>
      </c>
      <c r="D491" s="4" t="s">
        <v>462</v>
      </c>
      <c r="E491" s="4" t="str">
        <f>"058232010"</f>
        <v>058232010</v>
      </c>
      <c r="F491" s="10">
        <v>40282</v>
      </c>
      <c r="G491" s="11">
        <v>1200000</v>
      </c>
      <c r="H491" s="11">
        <v>1200000</v>
      </c>
      <c r="I491" s="4" t="s">
        <v>91</v>
      </c>
      <c r="J491" s="4" t="s">
        <v>92</v>
      </c>
      <c r="K491" s="11">
        <v>0</v>
      </c>
      <c r="L491" s="4"/>
      <c r="M491" s="4"/>
      <c r="N491" s="11">
        <v>0</v>
      </c>
      <c r="O491" s="4"/>
      <c r="P491" s="4"/>
      <c r="Q491" s="11">
        <v>0</v>
      </c>
      <c r="R491" s="4"/>
      <c r="S491" s="12"/>
    </row>
    <row r="492" spans="1:19" x14ac:dyDescent="0.25">
      <c r="A492" s="9" t="s">
        <v>445</v>
      </c>
      <c r="B492" s="9" t="s">
        <v>291</v>
      </c>
      <c r="C492" s="4">
        <v>201002707</v>
      </c>
      <c r="D492" s="4" t="s">
        <v>463</v>
      </c>
      <c r="E492" s="4" t="str">
        <f>"053082010"</f>
        <v>053082010</v>
      </c>
      <c r="F492" s="10">
        <v>40274</v>
      </c>
      <c r="G492" s="11">
        <v>5000</v>
      </c>
      <c r="H492" s="11">
        <v>5000</v>
      </c>
      <c r="I492" s="4" t="s">
        <v>30</v>
      </c>
      <c r="J492" s="4" t="s">
        <v>31</v>
      </c>
      <c r="K492" s="11">
        <v>0</v>
      </c>
      <c r="L492" s="4"/>
      <c r="M492" s="4"/>
      <c r="N492" s="11">
        <v>0</v>
      </c>
      <c r="O492" s="4"/>
      <c r="P492" s="4"/>
      <c r="Q492" s="11">
        <v>0</v>
      </c>
      <c r="R492" s="4"/>
      <c r="S492" s="12"/>
    </row>
    <row r="493" spans="1:19" x14ac:dyDescent="0.25">
      <c r="A493" s="9" t="s">
        <v>445</v>
      </c>
      <c r="B493" s="9" t="s">
        <v>291</v>
      </c>
      <c r="C493" s="4">
        <v>201002883</v>
      </c>
      <c r="D493" s="4" t="s">
        <v>464</v>
      </c>
      <c r="E493" s="4" t="str">
        <f>"058172010"</f>
        <v>058172010</v>
      </c>
      <c r="F493" s="10">
        <v>40284</v>
      </c>
      <c r="G493" s="11">
        <v>15000</v>
      </c>
      <c r="H493" s="11">
        <v>15000</v>
      </c>
      <c r="I493" s="4" t="s">
        <v>38</v>
      </c>
      <c r="J493" s="4" t="s">
        <v>39</v>
      </c>
      <c r="K493" s="11">
        <v>0</v>
      </c>
      <c r="L493" s="4"/>
      <c r="M493" s="4"/>
      <c r="N493" s="11">
        <v>0</v>
      </c>
      <c r="O493" s="4"/>
      <c r="P493" s="4"/>
      <c r="Q493" s="11">
        <v>0</v>
      </c>
      <c r="R493" s="4"/>
      <c r="S493" s="12"/>
    </row>
    <row r="494" spans="1:19" x14ac:dyDescent="0.25">
      <c r="A494" s="9" t="s">
        <v>445</v>
      </c>
      <c r="B494" s="9" t="s">
        <v>291</v>
      </c>
      <c r="C494" s="4">
        <v>201002948</v>
      </c>
      <c r="D494" s="4" t="s">
        <v>465</v>
      </c>
      <c r="E494" s="4" t="str">
        <f>"057932010"</f>
        <v>057932010</v>
      </c>
      <c r="F494" s="10">
        <v>40284</v>
      </c>
      <c r="G494" s="11">
        <v>18800</v>
      </c>
      <c r="H494" s="11">
        <v>18800</v>
      </c>
      <c r="I494" s="4" t="s">
        <v>91</v>
      </c>
      <c r="J494" s="4" t="s">
        <v>92</v>
      </c>
      <c r="K494" s="11">
        <v>0</v>
      </c>
      <c r="L494" s="4"/>
      <c r="M494" s="4"/>
      <c r="N494" s="11">
        <v>0</v>
      </c>
      <c r="O494" s="4"/>
      <c r="P494" s="4"/>
      <c r="Q494" s="11">
        <v>0</v>
      </c>
      <c r="R494" s="4"/>
      <c r="S494" s="12"/>
    </row>
    <row r="495" spans="1:19" x14ac:dyDescent="0.25">
      <c r="A495" s="9" t="s">
        <v>445</v>
      </c>
      <c r="B495" s="9" t="s">
        <v>291</v>
      </c>
      <c r="C495" s="4">
        <v>201002970</v>
      </c>
      <c r="D495" s="4" t="s">
        <v>466</v>
      </c>
      <c r="E495" s="4" t="str">
        <f>"059792010"</f>
        <v>059792010</v>
      </c>
      <c r="F495" s="10">
        <v>40288</v>
      </c>
      <c r="G495" s="11">
        <v>2900000</v>
      </c>
      <c r="H495" s="11">
        <v>2900000</v>
      </c>
      <c r="I495" s="4" t="s">
        <v>23</v>
      </c>
      <c r="J495" s="4" t="s">
        <v>24</v>
      </c>
      <c r="K495" s="11">
        <v>0</v>
      </c>
      <c r="L495" s="4"/>
      <c r="M495" s="4"/>
      <c r="N495" s="11">
        <v>0</v>
      </c>
      <c r="O495" s="4"/>
      <c r="P495" s="4"/>
      <c r="Q495" s="11">
        <v>0</v>
      </c>
      <c r="R495" s="4"/>
      <c r="S495" s="12"/>
    </row>
    <row r="496" spans="1:19" x14ac:dyDescent="0.25">
      <c r="A496" s="9" t="s">
        <v>445</v>
      </c>
      <c r="B496" s="9" t="s">
        <v>291</v>
      </c>
      <c r="C496" s="4">
        <v>201003030</v>
      </c>
      <c r="D496" s="4" t="s">
        <v>467</v>
      </c>
      <c r="E496" s="4" t="str">
        <f>"064742010"</f>
        <v>064742010</v>
      </c>
      <c r="F496" s="10">
        <v>40302</v>
      </c>
      <c r="G496" s="11">
        <v>82500</v>
      </c>
      <c r="H496" s="11">
        <v>82500</v>
      </c>
      <c r="I496" s="4" t="s">
        <v>30</v>
      </c>
      <c r="J496" s="4" t="s">
        <v>31</v>
      </c>
      <c r="K496" s="11">
        <v>0</v>
      </c>
      <c r="L496" s="4"/>
      <c r="M496" s="4"/>
      <c r="N496" s="11">
        <v>0</v>
      </c>
      <c r="O496" s="4"/>
      <c r="P496" s="4"/>
      <c r="Q496" s="11">
        <v>0</v>
      </c>
      <c r="R496" s="4"/>
      <c r="S496" s="12"/>
    </row>
    <row r="497" spans="1:19" x14ac:dyDescent="0.25">
      <c r="A497" s="9" t="s">
        <v>445</v>
      </c>
      <c r="B497" s="9" t="s">
        <v>291</v>
      </c>
      <c r="C497" s="4">
        <v>201003166</v>
      </c>
      <c r="D497" s="4"/>
      <c r="E497" s="4" t="str">
        <f>"063682010"</f>
        <v>063682010</v>
      </c>
      <c r="F497" s="10">
        <v>40297</v>
      </c>
      <c r="G497" s="11">
        <v>4827039.1399999997</v>
      </c>
      <c r="H497" s="11">
        <v>4827039.1399999997</v>
      </c>
      <c r="I497" s="4" t="s">
        <v>142</v>
      </c>
      <c r="J497" s="4" t="s">
        <v>143</v>
      </c>
      <c r="K497" s="11">
        <v>0</v>
      </c>
      <c r="L497" s="4"/>
      <c r="M497" s="4"/>
      <c r="N497" s="11">
        <v>0</v>
      </c>
      <c r="O497" s="4"/>
      <c r="P497" s="4"/>
      <c r="Q497" s="11">
        <v>0</v>
      </c>
      <c r="R497" s="4"/>
      <c r="S497" s="12"/>
    </row>
    <row r="498" spans="1:19" x14ac:dyDescent="0.25">
      <c r="A498" s="9" t="s">
        <v>445</v>
      </c>
      <c r="B498" s="9" t="s">
        <v>291</v>
      </c>
      <c r="C498" s="4">
        <v>201003287</v>
      </c>
      <c r="D498" s="4" t="s">
        <v>468</v>
      </c>
      <c r="E498" s="4" t="str">
        <f>"065222010"</f>
        <v>065222010</v>
      </c>
      <c r="F498" s="10">
        <v>40304</v>
      </c>
      <c r="G498" s="11">
        <v>71000</v>
      </c>
      <c r="H498" s="11">
        <v>71000</v>
      </c>
      <c r="I498" s="4" t="s">
        <v>72</v>
      </c>
      <c r="J498" s="4" t="s">
        <v>73</v>
      </c>
      <c r="K498" s="11">
        <v>0</v>
      </c>
      <c r="L498" s="4"/>
      <c r="M498" s="4"/>
      <c r="N498" s="11">
        <v>0</v>
      </c>
      <c r="O498" s="4"/>
      <c r="P498" s="4"/>
      <c r="Q498" s="11">
        <v>0</v>
      </c>
      <c r="R498" s="4"/>
      <c r="S498" s="12"/>
    </row>
    <row r="499" spans="1:19" x14ac:dyDescent="0.25">
      <c r="A499" s="9" t="s">
        <v>445</v>
      </c>
      <c r="B499" s="9" t="s">
        <v>291</v>
      </c>
      <c r="C499" s="4">
        <v>201003333</v>
      </c>
      <c r="D499" s="4"/>
      <c r="E499" s="4" t="str">
        <f>"067622010"</f>
        <v>067622010</v>
      </c>
      <c r="F499" s="10">
        <v>40309</v>
      </c>
      <c r="G499" s="11">
        <v>77000</v>
      </c>
      <c r="H499" s="11">
        <v>77000</v>
      </c>
      <c r="I499" s="4" t="s">
        <v>142</v>
      </c>
      <c r="J499" s="4" t="s">
        <v>143</v>
      </c>
      <c r="K499" s="11">
        <v>0</v>
      </c>
      <c r="L499" s="4"/>
      <c r="M499" s="4"/>
      <c r="N499" s="11">
        <v>0</v>
      </c>
      <c r="O499" s="4"/>
      <c r="P499" s="4"/>
      <c r="Q499" s="11">
        <v>0</v>
      </c>
      <c r="R499" s="4"/>
      <c r="S499" s="12"/>
    </row>
    <row r="500" spans="1:19" x14ac:dyDescent="0.25">
      <c r="A500" s="9" t="s">
        <v>445</v>
      </c>
      <c r="B500" s="9" t="s">
        <v>291</v>
      </c>
      <c r="C500" s="4">
        <v>201003433</v>
      </c>
      <c r="D500" s="4" t="s">
        <v>469</v>
      </c>
      <c r="E500" s="4" t="str">
        <f>"076182010"</f>
        <v>076182010</v>
      </c>
      <c r="F500" s="10">
        <v>40337</v>
      </c>
      <c r="G500" s="11">
        <v>235000</v>
      </c>
      <c r="H500" s="11">
        <v>235000</v>
      </c>
      <c r="I500" s="4" t="s">
        <v>88</v>
      </c>
      <c r="J500" s="4" t="s">
        <v>89</v>
      </c>
      <c r="K500" s="11">
        <v>0</v>
      </c>
      <c r="L500" s="4"/>
      <c r="M500" s="4"/>
      <c r="N500" s="11">
        <v>0</v>
      </c>
      <c r="O500" s="4"/>
      <c r="P500" s="4"/>
      <c r="Q500" s="11">
        <v>0</v>
      </c>
      <c r="R500" s="4"/>
      <c r="S500" s="12"/>
    </row>
    <row r="501" spans="1:19" x14ac:dyDescent="0.25">
      <c r="A501" s="9" t="s">
        <v>445</v>
      </c>
      <c r="B501" s="9" t="s">
        <v>291</v>
      </c>
      <c r="C501" s="4">
        <v>201003474</v>
      </c>
      <c r="D501" s="4" t="s">
        <v>470</v>
      </c>
      <c r="E501" s="4" t="str">
        <f>"071852010"</f>
        <v>071852010</v>
      </c>
      <c r="F501" s="10">
        <v>40323</v>
      </c>
      <c r="G501" s="11">
        <v>228243.04</v>
      </c>
      <c r="H501" s="11">
        <v>228243.04</v>
      </c>
      <c r="I501" s="4" t="s">
        <v>401</v>
      </c>
      <c r="J501" s="4" t="s">
        <v>402</v>
      </c>
      <c r="K501" s="11">
        <v>0</v>
      </c>
      <c r="L501" s="4"/>
      <c r="M501" s="4"/>
      <c r="N501" s="11">
        <v>0</v>
      </c>
      <c r="O501" s="4"/>
      <c r="P501" s="4"/>
      <c r="Q501" s="11">
        <v>0</v>
      </c>
      <c r="R501" s="4"/>
      <c r="S501" s="12"/>
    </row>
    <row r="502" spans="1:19" x14ac:dyDescent="0.25">
      <c r="A502" s="9" t="s">
        <v>445</v>
      </c>
      <c r="B502" s="9" t="s">
        <v>291</v>
      </c>
      <c r="C502" s="4">
        <v>201003476</v>
      </c>
      <c r="D502" s="4" t="s">
        <v>471</v>
      </c>
      <c r="E502" s="4" t="str">
        <f>"072172010"</f>
        <v>072172010</v>
      </c>
      <c r="F502" s="10">
        <v>40323</v>
      </c>
      <c r="G502" s="11">
        <v>7500</v>
      </c>
      <c r="H502" s="11">
        <v>7500</v>
      </c>
      <c r="I502" s="4" t="s">
        <v>30</v>
      </c>
      <c r="J502" s="4" t="s">
        <v>31</v>
      </c>
      <c r="K502" s="11">
        <v>0</v>
      </c>
      <c r="L502" s="4"/>
      <c r="M502" s="4"/>
      <c r="N502" s="11">
        <v>0</v>
      </c>
      <c r="O502" s="4"/>
      <c r="P502" s="4"/>
      <c r="Q502" s="11">
        <v>0</v>
      </c>
      <c r="R502" s="4"/>
      <c r="S502" s="12"/>
    </row>
    <row r="503" spans="1:19" x14ac:dyDescent="0.25">
      <c r="A503" s="9" t="s">
        <v>445</v>
      </c>
      <c r="B503" s="9" t="s">
        <v>291</v>
      </c>
      <c r="C503" s="4">
        <v>201003514</v>
      </c>
      <c r="D503" s="4"/>
      <c r="E503" s="4" t="str">
        <f>"071072010"</f>
        <v>071072010</v>
      </c>
      <c r="F503" s="10">
        <v>40318</v>
      </c>
      <c r="G503" s="11">
        <v>25000</v>
      </c>
      <c r="H503" s="11">
        <v>25000</v>
      </c>
      <c r="I503" s="4" t="s">
        <v>472</v>
      </c>
      <c r="J503" s="4" t="s">
        <v>473</v>
      </c>
      <c r="K503" s="11">
        <v>0</v>
      </c>
      <c r="L503" s="4"/>
      <c r="M503" s="4"/>
      <c r="N503" s="11">
        <v>0</v>
      </c>
      <c r="O503" s="4"/>
      <c r="P503" s="4"/>
      <c r="Q503" s="11">
        <v>0</v>
      </c>
      <c r="R503" s="4"/>
      <c r="S503" s="12"/>
    </row>
    <row r="504" spans="1:19" x14ac:dyDescent="0.25">
      <c r="A504" s="9" t="s">
        <v>445</v>
      </c>
      <c r="B504" s="9" t="s">
        <v>291</v>
      </c>
      <c r="C504" s="4">
        <v>201003514</v>
      </c>
      <c r="D504" s="4"/>
      <c r="E504" s="4" t="str">
        <f>"086082010"</f>
        <v>086082010</v>
      </c>
      <c r="F504" s="10">
        <v>40357</v>
      </c>
      <c r="G504" s="11">
        <v>80178.350000000006</v>
      </c>
      <c r="H504" s="11">
        <v>80178.350000000006</v>
      </c>
      <c r="I504" s="4" t="s">
        <v>472</v>
      </c>
      <c r="J504" s="4" t="s">
        <v>473</v>
      </c>
      <c r="K504" s="11">
        <v>0</v>
      </c>
      <c r="L504" s="4"/>
      <c r="M504" s="4"/>
      <c r="N504" s="11">
        <v>0</v>
      </c>
      <c r="O504" s="4"/>
      <c r="P504" s="4"/>
      <c r="Q504" s="11">
        <v>0</v>
      </c>
      <c r="R504" s="4"/>
      <c r="S504" s="12"/>
    </row>
    <row r="505" spans="1:19" x14ac:dyDescent="0.25">
      <c r="A505" s="9" t="s">
        <v>445</v>
      </c>
      <c r="B505" s="9" t="s">
        <v>291</v>
      </c>
      <c r="C505" s="4">
        <v>201004022</v>
      </c>
      <c r="D505" s="4"/>
      <c r="E505" s="4" t="str">
        <f>"085182010"</f>
        <v>085182010</v>
      </c>
      <c r="F505" s="10">
        <v>40357</v>
      </c>
      <c r="G505" s="11">
        <v>420000</v>
      </c>
      <c r="H505" s="11">
        <v>420000</v>
      </c>
      <c r="I505" s="4" t="s">
        <v>366</v>
      </c>
      <c r="J505" s="4" t="s">
        <v>367</v>
      </c>
      <c r="K505" s="11">
        <v>0</v>
      </c>
      <c r="L505" s="4"/>
      <c r="M505" s="4"/>
      <c r="N505" s="11">
        <v>0</v>
      </c>
      <c r="O505" s="4"/>
      <c r="P505" s="4"/>
      <c r="Q505" s="11">
        <v>0</v>
      </c>
      <c r="R505" s="4"/>
      <c r="S505" s="12"/>
    </row>
    <row r="506" spans="1:19" x14ac:dyDescent="0.25">
      <c r="A506" s="9" t="s">
        <v>445</v>
      </c>
      <c r="B506" s="9" t="s">
        <v>291</v>
      </c>
      <c r="C506" s="4">
        <v>201004034</v>
      </c>
      <c r="D506" s="4" t="s">
        <v>2534</v>
      </c>
      <c r="E506" s="4" t="str">
        <f>"078072010"</f>
        <v>078072010</v>
      </c>
      <c r="F506" s="10">
        <v>40350</v>
      </c>
      <c r="G506" s="11">
        <v>6215</v>
      </c>
      <c r="H506" s="11">
        <v>0</v>
      </c>
      <c r="I506" s="4"/>
      <c r="J506" s="4"/>
      <c r="K506" s="11">
        <v>6721</v>
      </c>
      <c r="L506" s="4" t="s">
        <v>407</v>
      </c>
      <c r="M506" s="4" t="s">
        <v>408</v>
      </c>
      <c r="N506" s="11">
        <v>0</v>
      </c>
      <c r="O506" s="4"/>
      <c r="P506" s="4"/>
      <c r="Q506" s="11">
        <v>0</v>
      </c>
      <c r="R506" s="4"/>
      <c r="S506" s="12"/>
    </row>
    <row r="507" spans="1:19" x14ac:dyDescent="0.25">
      <c r="A507" s="9" t="s">
        <v>445</v>
      </c>
      <c r="B507" s="9" t="s">
        <v>291</v>
      </c>
      <c r="C507" s="4">
        <v>201004034</v>
      </c>
      <c r="D507" s="4" t="s">
        <v>474</v>
      </c>
      <c r="E507" s="4" t="str">
        <f>"078052010"</f>
        <v>078052010</v>
      </c>
      <c r="F507" s="10">
        <v>40352</v>
      </c>
      <c r="G507" s="11">
        <v>8003</v>
      </c>
      <c r="H507" s="11">
        <v>0</v>
      </c>
      <c r="I507" s="4"/>
      <c r="J507" s="4"/>
      <c r="K507" s="11">
        <v>0</v>
      </c>
      <c r="L507" s="4"/>
      <c r="M507" s="4"/>
      <c r="N507" s="11">
        <v>8003</v>
      </c>
      <c r="O507" s="4" t="s">
        <v>407</v>
      </c>
      <c r="P507" s="4" t="s">
        <v>408</v>
      </c>
      <c r="Q507" s="11">
        <v>0</v>
      </c>
      <c r="R507" s="4"/>
      <c r="S507" s="12"/>
    </row>
    <row r="508" spans="1:19" x14ac:dyDescent="0.25">
      <c r="A508" s="9" t="s">
        <v>445</v>
      </c>
      <c r="B508" s="9" t="s">
        <v>291</v>
      </c>
      <c r="C508" s="4">
        <v>201004034</v>
      </c>
      <c r="D508" s="4" t="s">
        <v>474</v>
      </c>
      <c r="E508" s="4" t="str">
        <f>"078092010"</f>
        <v>078092010</v>
      </c>
      <c r="F508" s="10">
        <v>40352</v>
      </c>
      <c r="G508" s="11">
        <v>32002.6</v>
      </c>
      <c r="H508" s="11">
        <v>29215</v>
      </c>
      <c r="I508" s="4" t="s">
        <v>407</v>
      </c>
      <c r="J508" s="4" t="s">
        <v>408</v>
      </c>
      <c r="K508" s="11">
        <v>0</v>
      </c>
      <c r="L508" s="4"/>
      <c r="M508" s="4"/>
      <c r="N508" s="11">
        <v>0</v>
      </c>
      <c r="O508" s="4"/>
      <c r="P508" s="4"/>
      <c r="Q508" s="11">
        <v>0</v>
      </c>
      <c r="R508" s="4"/>
      <c r="S508" s="12"/>
    </row>
    <row r="509" spans="1:19" x14ac:dyDescent="0.25">
      <c r="A509" s="9" t="s">
        <v>445</v>
      </c>
      <c r="B509" s="9" t="s">
        <v>291</v>
      </c>
      <c r="C509" s="4">
        <v>201004045</v>
      </c>
      <c r="D509" s="4" t="s">
        <v>2534</v>
      </c>
      <c r="E509" s="4" t="str">
        <f>"080802010"</f>
        <v>080802010</v>
      </c>
      <c r="F509" s="10">
        <v>40352</v>
      </c>
      <c r="G509" s="11">
        <v>6721</v>
      </c>
      <c r="H509" s="11">
        <v>0</v>
      </c>
      <c r="I509" s="4"/>
      <c r="J509" s="4"/>
      <c r="K509" s="11">
        <v>6721</v>
      </c>
      <c r="L509" s="4" t="s">
        <v>407</v>
      </c>
      <c r="M509" s="4" t="s">
        <v>408</v>
      </c>
      <c r="N509" s="11">
        <v>0</v>
      </c>
      <c r="O509" s="4"/>
      <c r="P509" s="4"/>
      <c r="Q509" s="11">
        <v>0</v>
      </c>
      <c r="R509" s="4"/>
      <c r="S509" s="12"/>
    </row>
    <row r="510" spans="1:19" x14ac:dyDescent="0.25">
      <c r="A510" s="9" t="s">
        <v>445</v>
      </c>
      <c r="B510" s="9" t="s">
        <v>291</v>
      </c>
      <c r="C510" s="4">
        <v>201004045</v>
      </c>
      <c r="D510" s="4" t="s">
        <v>474</v>
      </c>
      <c r="E510" s="4" t="str">
        <f>"080782010"</f>
        <v>080782010</v>
      </c>
      <c r="F510" s="10">
        <v>40352</v>
      </c>
      <c r="G510" s="11">
        <v>30162.45</v>
      </c>
      <c r="H510" s="11">
        <v>21537</v>
      </c>
      <c r="I510" s="4" t="s">
        <v>407</v>
      </c>
      <c r="J510" s="4" t="s">
        <v>408</v>
      </c>
      <c r="K510" s="11">
        <v>0</v>
      </c>
      <c r="L510" s="4"/>
      <c r="M510" s="4"/>
      <c r="N510" s="11">
        <v>0</v>
      </c>
      <c r="O510" s="4"/>
      <c r="P510" s="4"/>
      <c r="Q510" s="11">
        <v>0</v>
      </c>
      <c r="R510" s="4"/>
      <c r="S510" s="12"/>
    </row>
    <row r="511" spans="1:19" x14ac:dyDescent="0.25">
      <c r="A511" s="9" t="s">
        <v>445</v>
      </c>
      <c r="B511" s="9" t="s">
        <v>291</v>
      </c>
      <c r="C511" s="4">
        <v>201004045</v>
      </c>
      <c r="D511" s="4" t="s">
        <v>474</v>
      </c>
      <c r="E511" s="4" t="str">
        <f>"080822010"</f>
        <v>080822010</v>
      </c>
      <c r="F511" s="10">
        <v>40352</v>
      </c>
      <c r="G511" s="11">
        <v>6023</v>
      </c>
      <c r="H511" s="11">
        <v>0</v>
      </c>
      <c r="I511" s="4"/>
      <c r="J511" s="4"/>
      <c r="K511" s="11">
        <v>0</v>
      </c>
      <c r="L511" s="4"/>
      <c r="M511" s="4"/>
      <c r="N511" s="11">
        <v>6023</v>
      </c>
      <c r="O511" s="4" t="s">
        <v>407</v>
      </c>
      <c r="P511" s="4" t="s">
        <v>408</v>
      </c>
      <c r="Q511" s="11">
        <v>0</v>
      </c>
      <c r="R511" s="4"/>
      <c r="S511" s="12"/>
    </row>
    <row r="512" spans="1:19" x14ac:dyDescent="0.25">
      <c r="A512" s="9" t="s">
        <v>445</v>
      </c>
      <c r="B512" s="9" t="s">
        <v>445</v>
      </c>
      <c r="C512" s="4">
        <v>201004224</v>
      </c>
      <c r="D512" s="4" t="s">
        <v>475</v>
      </c>
      <c r="E512" s="4" t="str">
        <f>"087782010"</f>
        <v>087782010</v>
      </c>
      <c r="F512" s="10">
        <v>40360</v>
      </c>
      <c r="G512" s="11">
        <v>3382685</v>
      </c>
      <c r="H512" s="11">
        <v>3382685</v>
      </c>
      <c r="I512" s="4" t="s">
        <v>98</v>
      </c>
      <c r="J512" s="4" t="s">
        <v>99</v>
      </c>
      <c r="K512" s="11">
        <v>0</v>
      </c>
      <c r="L512" s="4"/>
      <c r="M512" s="4"/>
      <c r="N512" s="11">
        <v>0</v>
      </c>
      <c r="O512" s="4"/>
      <c r="P512" s="4"/>
      <c r="Q512" s="11">
        <v>0</v>
      </c>
      <c r="R512" s="4"/>
      <c r="S512" s="12"/>
    </row>
    <row r="513" spans="1:19" x14ac:dyDescent="0.25">
      <c r="A513" s="9" t="s">
        <v>445</v>
      </c>
      <c r="B513" s="9" t="s">
        <v>445</v>
      </c>
      <c r="C513" s="4">
        <v>201004241</v>
      </c>
      <c r="D513" s="4" t="s">
        <v>476</v>
      </c>
      <c r="E513" s="4" t="str">
        <f>"092342010"</f>
        <v>092342010</v>
      </c>
      <c r="F513" s="10">
        <v>40373</v>
      </c>
      <c r="G513" s="11">
        <v>184800.64000000001</v>
      </c>
      <c r="H513" s="11">
        <v>0</v>
      </c>
      <c r="I513" s="4"/>
      <c r="J513" s="4"/>
      <c r="K513" s="11">
        <v>0</v>
      </c>
      <c r="L513" s="4"/>
      <c r="M513" s="4"/>
      <c r="N513" s="11">
        <v>0</v>
      </c>
      <c r="O513" s="4"/>
      <c r="P513" s="4"/>
      <c r="Q513" s="11">
        <v>184800.64000000001</v>
      </c>
      <c r="R513" s="4" t="s">
        <v>98</v>
      </c>
      <c r="S513" s="12" t="s">
        <v>99</v>
      </c>
    </row>
    <row r="514" spans="1:19" x14ac:dyDescent="0.25">
      <c r="A514" s="9" t="s">
        <v>445</v>
      </c>
      <c r="B514" s="9" t="s">
        <v>445</v>
      </c>
      <c r="C514" s="4">
        <v>201004241</v>
      </c>
      <c r="D514" s="4" t="s">
        <v>476</v>
      </c>
      <c r="E514" s="4" t="str">
        <f>"092362010"</f>
        <v>092362010</v>
      </c>
      <c r="F514" s="10">
        <v>40373</v>
      </c>
      <c r="G514" s="11">
        <v>1717634.59</v>
      </c>
      <c r="H514" s="11">
        <v>1700000</v>
      </c>
      <c r="I514" s="4" t="s">
        <v>98</v>
      </c>
      <c r="J514" s="4" t="s">
        <v>99</v>
      </c>
      <c r="K514" s="11">
        <v>0</v>
      </c>
      <c r="L514" s="4"/>
      <c r="M514" s="4"/>
      <c r="N514" s="11">
        <v>0</v>
      </c>
      <c r="O514" s="4"/>
      <c r="P514" s="4"/>
      <c r="Q514" s="11">
        <v>17634.59</v>
      </c>
      <c r="R514" s="4" t="s">
        <v>98</v>
      </c>
      <c r="S514" s="12" t="s">
        <v>99</v>
      </c>
    </row>
    <row r="515" spans="1:19" x14ac:dyDescent="0.25">
      <c r="A515" s="9" t="s">
        <v>445</v>
      </c>
      <c r="B515" s="9" t="s">
        <v>291</v>
      </c>
      <c r="C515" s="4">
        <v>201004510</v>
      </c>
      <c r="D515" s="4" t="s">
        <v>477</v>
      </c>
      <c r="E515" s="4" t="str">
        <f>"089362010"</f>
        <v>089362010</v>
      </c>
      <c r="F515" s="10">
        <v>40366</v>
      </c>
      <c r="G515" s="11">
        <v>85000</v>
      </c>
      <c r="H515" s="11">
        <v>85000</v>
      </c>
      <c r="I515" s="4" t="s">
        <v>30</v>
      </c>
      <c r="J515" s="4" t="s">
        <v>31</v>
      </c>
      <c r="K515" s="11">
        <v>0</v>
      </c>
      <c r="L515" s="4"/>
      <c r="M515" s="4"/>
      <c r="N515" s="11">
        <v>0</v>
      </c>
      <c r="O515" s="4"/>
      <c r="P515" s="4"/>
      <c r="Q515" s="11">
        <v>0</v>
      </c>
      <c r="R515" s="4"/>
      <c r="S515" s="12"/>
    </row>
    <row r="516" spans="1:19" x14ac:dyDescent="0.25">
      <c r="A516" s="9" t="s">
        <v>445</v>
      </c>
      <c r="B516" s="9" t="s">
        <v>291</v>
      </c>
      <c r="C516" s="4">
        <v>201004616</v>
      </c>
      <c r="D516" s="4" t="s">
        <v>478</v>
      </c>
      <c r="E516" s="4" t="str">
        <f>"093442010"</f>
        <v>093442010</v>
      </c>
      <c r="F516" s="10">
        <v>40374</v>
      </c>
      <c r="G516" s="11">
        <v>60000</v>
      </c>
      <c r="H516" s="11">
        <v>60000</v>
      </c>
      <c r="I516" s="4" t="s">
        <v>72</v>
      </c>
      <c r="J516" s="4" t="s">
        <v>73</v>
      </c>
      <c r="K516" s="11">
        <v>0</v>
      </c>
      <c r="L516" s="4"/>
      <c r="M516" s="4"/>
      <c r="N516" s="11">
        <v>0</v>
      </c>
      <c r="O516" s="4"/>
      <c r="P516" s="4"/>
      <c r="Q516" s="11">
        <v>0</v>
      </c>
      <c r="R516" s="4"/>
      <c r="S516" s="12"/>
    </row>
    <row r="517" spans="1:19" x14ac:dyDescent="0.25">
      <c r="A517" s="9" t="s">
        <v>445</v>
      </c>
      <c r="B517" s="9" t="s">
        <v>291</v>
      </c>
      <c r="C517" s="4">
        <v>201004653</v>
      </c>
      <c r="D517" s="4" t="s">
        <v>479</v>
      </c>
      <c r="E517" s="4" t="str">
        <f>"094542010"</f>
        <v>094542010</v>
      </c>
      <c r="F517" s="10">
        <v>40380</v>
      </c>
      <c r="G517" s="11">
        <v>65000</v>
      </c>
      <c r="H517" s="11">
        <v>65000</v>
      </c>
      <c r="I517" s="4" t="s">
        <v>68</v>
      </c>
      <c r="J517" s="4" t="s">
        <v>69</v>
      </c>
      <c r="K517" s="11">
        <v>0</v>
      </c>
      <c r="L517" s="4"/>
      <c r="M517" s="4"/>
      <c r="N517" s="11">
        <v>0</v>
      </c>
      <c r="O517" s="4"/>
      <c r="P517" s="4"/>
      <c r="Q517" s="11">
        <v>0</v>
      </c>
      <c r="R517" s="4"/>
      <c r="S517" s="12"/>
    </row>
    <row r="518" spans="1:19" x14ac:dyDescent="0.25">
      <c r="A518" s="9" t="s">
        <v>445</v>
      </c>
      <c r="B518" s="9" t="s">
        <v>291</v>
      </c>
      <c r="C518" s="4">
        <v>201004964</v>
      </c>
      <c r="D518" s="4" t="s">
        <v>451</v>
      </c>
      <c r="E518" s="4" t="str">
        <f>"099352010"</f>
        <v>099352010</v>
      </c>
      <c r="F518" s="10">
        <v>40396</v>
      </c>
      <c r="G518" s="11">
        <v>52500</v>
      </c>
      <c r="H518" s="11">
        <v>52500</v>
      </c>
      <c r="I518" s="4" t="s">
        <v>72</v>
      </c>
      <c r="J518" s="4" t="s">
        <v>73</v>
      </c>
      <c r="K518" s="11">
        <v>0</v>
      </c>
      <c r="L518" s="4"/>
      <c r="M518" s="4"/>
      <c r="N518" s="11">
        <v>0</v>
      </c>
      <c r="O518" s="4"/>
      <c r="P518" s="4"/>
      <c r="Q518" s="11">
        <v>0</v>
      </c>
      <c r="R518" s="4"/>
      <c r="S518" s="12"/>
    </row>
    <row r="519" spans="1:19" x14ac:dyDescent="0.25">
      <c r="A519" s="9" t="s">
        <v>445</v>
      </c>
      <c r="B519" s="9" t="s">
        <v>291</v>
      </c>
      <c r="C519" s="4">
        <v>201005020</v>
      </c>
      <c r="D519" s="4"/>
      <c r="E519" s="4" t="str">
        <f>"100892010"</f>
        <v>100892010</v>
      </c>
      <c r="F519" s="10">
        <v>40406</v>
      </c>
      <c r="G519" s="11">
        <v>123033.95</v>
      </c>
      <c r="H519" s="11">
        <v>87624.5</v>
      </c>
      <c r="I519" s="4" t="s">
        <v>98</v>
      </c>
      <c r="J519" s="4" t="s">
        <v>99</v>
      </c>
      <c r="K519" s="11">
        <v>0</v>
      </c>
      <c r="L519" s="4"/>
      <c r="M519" s="4"/>
      <c r="N519" s="11">
        <v>0</v>
      </c>
      <c r="O519" s="4"/>
      <c r="P519" s="4"/>
      <c r="Q519" s="11">
        <v>35409.449999999997</v>
      </c>
      <c r="R519" s="4" t="s">
        <v>98</v>
      </c>
      <c r="S519" s="12" t="s">
        <v>99</v>
      </c>
    </row>
    <row r="520" spans="1:19" x14ac:dyDescent="0.25">
      <c r="A520" s="9" t="s">
        <v>445</v>
      </c>
      <c r="B520" s="9" t="s">
        <v>291</v>
      </c>
      <c r="C520" s="4">
        <v>201005127</v>
      </c>
      <c r="D520" s="4" t="s">
        <v>480</v>
      </c>
      <c r="E520" s="4" t="str">
        <f>"102492010"</f>
        <v>102492010</v>
      </c>
      <c r="F520" s="10">
        <v>40409</v>
      </c>
      <c r="G520" s="11">
        <v>0</v>
      </c>
      <c r="H520" s="11">
        <v>139712.5</v>
      </c>
      <c r="I520" s="4" t="s">
        <v>23</v>
      </c>
      <c r="J520" s="4" t="s">
        <v>24</v>
      </c>
      <c r="K520" s="11">
        <v>0</v>
      </c>
      <c r="L520" s="4"/>
      <c r="M520" s="4"/>
      <c r="N520" s="11">
        <v>0</v>
      </c>
      <c r="O520" s="4"/>
      <c r="P520" s="4"/>
      <c r="Q520" s="11">
        <v>0</v>
      </c>
      <c r="R520" s="4"/>
      <c r="S520" s="12"/>
    </row>
    <row r="521" spans="1:19" x14ac:dyDescent="0.25">
      <c r="A521" s="9" t="s">
        <v>445</v>
      </c>
      <c r="B521" s="9" t="s">
        <v>291</v>
      </c>
      <c r="C521" s="4">
        <v>201005237</v>
      </c>
      <c r="D521" s="4" t="s">
        <v>451</v>
      </c>
      <c r="E521" s="4" t="str">
        <f>"105932010"</f>
        <v>105932010</v>
      </c>
      <c r="F521" s="10">
        <v>40416</v>
      </c>
      <c r="G521" s="11">
        <v>85000</v>
      </c>
      <c r="H521" s="11">
        <v>85000</v>
      </c>
      <c r="I521" s="4" t="s">
        <v>72</v>
      </c>
      <c r="J521" s="4" t="s">
        <v>73</v>
      </c>
      <c r="K521" s="11">
        <v>0</v>
      </c>
      <c r="L521" s="4"/>
      <c r="M521" s="4"/>
      <c r="N521" s="11">
        <v>0</v>
      </c>
      <c r="O521" s="4"/>
      <c r="P521" s="4"/>
      <c r="Q521" s="11">
        <v>0</v>
      </c>
      <c r="R521" s="4"/>
      <c r="S521" s="12"/>
    </row>
    <row r="522" spans="1:19" x14ac:dyDescent="0.25">
      <c r="A522" s="9" t="s">
        <v>481</v>
      </c>
      <c r="B522" s="9" t="s">
        <v>291</v>
      </c>
      <c r="C522" s="4">
        <v>201003930</v>
      </c>
      <c r="D522" s="4"/>
      <c r="E522" s="4" t="str">
        <f>"079142010"</f>
        <v>079142010</v>
      </c>
      <c r="F522" s="10">
        <v>40344</v>
      </c>
      <c r="G522" s="11">
        <v>10856</v>
      </c>
      <c r="H522" s="11">
        <v>10856</v>
      </c>
      <c r="I522" s="4" t="s">
        <v>142</v>
      </c>
      <c r="J522" s="4" t="s">
        <v>143</v>
      </c>
      <c r="K522" s="11">
        <v>0</v>
      </c>
      <c r="L522" s="4"/>
      <c r="M522" s="4"/>
      <c r="N522" s="11">
        <v>0</v>
      </c>
      <c r="O522" s="4"/>
      <c r="P522" s="4"/>
      <c r="Q522" s="11">
        <v>0</v>
      </c>
      <c r="R522" s="4"/>
      <c r="S522" s="12"/>
    </row>
    <row r="523" spans="1:19" x14ac:dyDescent="0.25">
      <c r="A523" s="9" t="s">
        <v>482</v>
      </c>
      <c r="B523" s="9" t="s">
        <v>291</v>
      </c>
      <c r="C523" s="4">
        <v>201001173</v>
      </c>
      <c r="D523" s="4"/>
      <c r="E523" s="4" t="str">
        <f>"023372010"</f>
        <v>023372010</v>
      </c>
      <c r="F523" s="10">
        <v>40165</v>
      </c>
      <c r="G523" s="11">
        <v>50.37</v>
      </c>
      <c r="H523" s="11">
        <v>50.37</v>
      </c>
      <c r="I523" s="4" t="s">
        <v>142</v>
      </c>
      <c r="J523" s="4" t="s">
        <v>143</v>
      </c>
      <c r="K523" s="11">
        <v>0</v>
      </c>
      <c r="L523" s="4"/>
      <c r="M523" s="4"/>
      <c r="N523" s="11">
        <v>0</v>
      </c>
      <c r="O523" s="4"/>
      <c r="P523" s="4"/>
      <c r="Q523" s="11">
        <v>0</v>
      </c>
      <c r="R523" s="4"/>
      <c r="S523" s="12"/>
    </row>
    <row r="524" spans="1:19" x14ac:dyDescent="0.25">
      <c r="A524" s="9" t="s">
        <v>482</v>
      </c>
      <c r="B524" s="9" t="s">
        <v>291</v>
      </c>
      <c r="C524" s="4">
        <v>201001712</v>
      </c>
      <c r="D524" s="4"/>
      <c r="E524" s="4" t="str">
        <f>"036702010"</f>
        <v>036702010</v>
      </c>
      <c r="F524" s="10">
        <v>40213</v>
      </c>
      <c r="G524" s="11">
        <v>43.08</v>
      </c>
      <c r="H524" s="11">
        <v>43.08</v>
      </c>
      <c r="I524" s="4" t="s">
        <v>142</v>
      </c>
      <c r="J524" s="4" t="s">
        <v>143</v>
      </c>
      <c r="K524" s="11">
        <v>0</v>
      </c>
      <c r="L524" s="4"/>
      <c r="M524" s="4"/>
      <c r="N524" s="11">
        <v>0</v>
      </c>
      <c r="O524" s="4"/>
      <c r="P524" s="4"/>
      <c r="Q524" s="11">
        <v>0</v>
      </c>
      <c r="R524" s="4"/>
      <c r="S524" s="12"/>
    </row>
    <row r="525" spans="1:19" x14ac:dyDescent="0.25">
      <c r="A525" s="9" t="s">
        <v>482</v>
      </c>
      <c r="B525" s="9" t="s">
        <v>291</v>
      </c>
      <c r="C525" s="4">
        <v>201002078</v>
      </c>
      <c r="D525" s="4"/>
      <c r="E525" s="4" t="str">
        <f>"042932010"</f>
        <v>042932010</v>
      </c>
      <c r="F525" s="10">
        <v>40240</v>
      </c>
      <c r="G525" s="11">
        <v>657.22</v>
      </c>
      <c r="H525" s="11">
        <v>657.22</v>
      </c>
      <c r="I525" s="4" t="s">
        <v>142</v>
      </c>
      <c r="J525" s="4" t="s">
        <v>143</v>
      </c>
      <c r="K525" s="11">
        <v>0</v>
      </c>
      <c r="L525" s="4"/>
      <c r="M525" s="4"/>
      <c r="N525" s="11">
        <v>0</v>
      </c>
      <c r="O525" s="4"/>
      <c r="P525" s="4"/>
      <c r="Q525" s="11">
        <v>0</v>
      </c>
      <c r="R525" s="4"/>
      <c r="S525" s="12"/>
    </row>
    <row r="526" spans="1:19" x14ac:dyDescent="0.25">
      <c r="A526" s="9" t="s">
        <v>482</v>
      </c>
      <c r="B526" s="9" t="s">
        <v>291</v>
      </c>
      <c r="C526" s="4">
        <v>201002444</v>
      </c>
      <c r="D526" s="4"/>
      <c r="E526" s="4" t="str">
        <f>"049322010"</f>
        <v>049322010</v>
      </c>
      <c r="F526" s="10">
        <v>40260</v>
      </c>
      <c r="G526" s="11">
        <v>2336.8200000000002</v>
      </c>
      <c r="H526" s="11">
        <v>2336.8200000000002</v>
      </c>
      <c r="I526" s="4" t="s">
        <v>142</v>
      </c>
      <c r="J526" s="4" t="s">
        <v>143</v>
      </c>
      <c r="K526" s="11">
        <v>0</v>
      </c>
      <c r="L526" s="4"/>
      <c r="M526" s="4"/>
      <c r="N526" s="11">
        <v>0</v>
      </c>
      <c r="O526" s="4"/>
      <c r="P526" s="4"/>
      <c r="Q526" s="11">
        <v>0</v>
      </c>
      <c r="R526" s="4"/>
      <c r="S526" s="12"/>
    </row>
    <row r="527" spans="1:19" x14ac:dyDescent="0.25">
      <c r="A527" s="9" t="s">
        <v>482</v>
      </c>
      <c r="B527" s="9" t="s">
        <v>291</v>
      </c>
      <c r="C527" s="4">
        <v>201002445</v>
      </c>
      <c r="D527" s="4"/>
      <c r="E527" s="4" t="str">
        <f>"048922010"</f>
        <v>048922010</v>
      </c>
      <c r="F527" s="10">
        <v>40259</v>
      </c>
      <c r="G527" s="11">
        <v>184197.54</v>
      </c>
      <c r="H527" s="11">
        <v>184197.54</v>
      </c>
      <c r="I527" s="4" t="s">
        <v>142</v>
      </c>
      <c r="J527" s="4" t="s">
        <v>143</v>
      </c>
      <c r="K527" s="11">
        <v>0</v>
      </c>
      <c r="L527" s="4"/>
      <c r="M527" s="4"/>
      <c r="N527" s="11">
        <v>0</v>
      </c>
      <c r="O527" s="4"/>
      <c r="P527" s="4"/>
      <c r="Q527" s="11">
        <v>0</v>
      </c>
      <c r="R527" s="4"/>
      <c r="S527" s="12"/>
    </row>
    <row r="528" spans="1:19" x14ac:dyDescent="0.25">
      <c r="A528" s="9" t="s">
        <v>482</v>
      </c>
      <c r="B528" s="9" t="s">
        <v>291</v>
      </c>
      <c r="C528" s="4">
        <v>201003165</v>
      </c>
      <c r="D528" s="4"/>
      <c r="E528" s="4" t="str">
        <f>"063102010"</f>
        <v>063102010</v>
      </c>
      <c r="F528" s="10">
        <v>40296</v>
      </c>
      <c r="G528" s="11">
        <v>84.04</v>
      </c>
      <c r="H528" s="11">
        <v>84.04</v>
      </c>
      <c r="I528" s="4" t="s">
        <v>142</v>
      </c>
      <c r="J528" s="4" t="s">
        <v>143</v>
      </c>
      <c r="K528" s="11">
        <v>0</v>
      </c>
      <c r="L528" s="4"/>
      <c r="M528" s="4"/>
      <c r="N528" s="11">
        <v>0</v>
      </c>
      <c r="O528" s="4"/>
      <c r="P528" s="4"/>
      <c r="Q528" s="11">
        <v>0</v>
      </c>
      <c r="R528" s="4"/>
      <c r="S528" s="12"/>
    </row>
    <row r="529" spans="1:19" x14ac:dyDescent="0.25">
      <c r="A529" s="9" t="s">
        <v>483</v>
      </c>
      <c r="B529" s="9" t="s">
        <v>291</v>
      </c>
      <c r="C529" s="4">
        <v>201004474</v>
      </c>
      <c r="D529" s="4"/>
      <c r="E529" s="4" t="str">
        <f>"091182010"</f>
        <v>091182010</v>
      </c>
      <c r="F529" s="10">
        <v>40367</v>
      </c>
      <c r="G529" s="11">
        <v>225000</v>
      </c>
      <c r="H529" s="11">
        <v>225000</v>
      </c>
      <c r="I529" s="4" t="s">
        <v>142</v>
      </c>
      <c r="J529" s="4" t="s">
        <v>143</v>
      </c>
      <c r="K529" s="11">
        <v>0</v>
      </c>
      <c r="L529" s="4"/>
      <c r="M529" s="4"/>
      <c r="N529" s="11">
        <v>0</v>
      </c>
      <c r="O529" s="4"/>
      <c r="P529" s="4"/>
      <c r="Q529" s="11">
        <v>0</v>
      </c>
      <c r="R529" s="4"/>
      <c r="S529" s="12"/>
    </row>
    <row r="530" spans="1:19" x14ac:dyDescent="0.25">
      <c r="A530" s="9" t="s">
        <v>484</v>
      </c>
      <c r="B530" s="9" t="s">
        <v>291</v>
      </c>
      <c r="C530" s="4">
        <v>201001170</v>
      </c>
      <c r="D530" s="4"/>
      <c r="E530" s="4" t="str">
        <f>"023512010"</f>
        <v>023512010</v>
      </c>
      <c r="F530" s="10">
        <v>40165</v>
      </c>
      <c r="G530" s="11">
        <v>586230.85</v>
      </c>
      <c r="H530" s="11">
        <v>586230.85</v>
      </c>
      <c r="I530" s="4" t="s">
        <v>142</v>
      </c>
      <c r="J530" s="4" t="s">
        <v>143</v>
      </c>
      <c r="K530" s="11">
        <v>0</v>
      </c>
      <c r="L530" s="4"/>
      <c r="M530" s="4"/>
      <c r="N530" s="11">
        <v>0</v>
      </c>
      <c r="O530" s="4"/>
      <c r="P530" s="4"/>
      <c r="Q530" s="11">
        <v>0</v>
      </c>
      <c r="R530" s="4"/>
      <c r="S530" s="12"/>
    </row>
    <row r="531" spans="1:19" x14ac:dyDescent="0.25">
      <c r="A531" s="9" t="s">
        <v>484</v>
      </c>
      <c r="B531" s="9" t="s">
        <v>291</v>
      </c>
      <c r="C531" s="4">
        <v>201004804</v>
      </c>
      <c r="D531" s="4"/>
      <c r="E531" s="4" t="str">
        <f>"096512010"</f>
        <v>096512010</v>
      </c>
      <c r="F531" s="10">
        <v>40387</v>
      </c>
      <c r="G531" s="11">
        <v>459530.73</v>
      </c>
      <c r="H531" s="11">
        <v>458714.34</v>
      </c>
      <c r="I531" s="4" t="s">
        <v>142</v>
      </c>
      <c r="J531" s="4" t="s">
        <v>143</v>
      </c>
      <c r="K531" s="11">
        <v>0</v>
      </c>
      <c r="L531" s="4"/>
      <c r="M531" s="4"/>
      <c r="N531" s="11">
        <v>0</v>
      </c>
      <c r="O531" s="4"/>
      <c r="P531" s="4"/>
      <c r="Q531" s="11">
        <v>816.39</v>
      </c>
      <c r="R531" s="4" t="s">
        <v>142</v>
      </c>
      <c r="S531" s="12" t="s">
        <v>143</v>
      </c>
    </row>
    <row r="532" spans="1:19" x14ac:dyDescent="0.25">
      <c r="A532" s="9" t="s">
        <v>485</v>
      </c>
      <c r="B532" s="9" t="s">
        <v>291</v>
      </c>
      <c r="C532" s="4">
        <v>200904930</v>
      </c>
      <c r="D532" s="4" t="s">
        <v>486</v>
      </c>
      <c r="E532" s="4" t="str">
        <f>"087872009"</f>
        <v>087872009</v>
      </c>
      <c r="F532" s="10">
        <v>40091</v>
      </c>
      <c r="G532" s="11">
        <v>32836517.420000002</v>
      </c>
      <c r="H532" s="11">
        <v>31000000</v>
      </c>
      <c r="I532" s="4" t="s">
        <v>23</v>
      </c>
      <c r="J532" s="4" t="s">
        <v>24</v>
      </c>
      <c r="K532" s="11">
        <v>0</v>
      </c>
      <c r="L532" s="4"/>
      <c r="M532" s="4"/>
      <c r="N532" s="11">
        <v>55720.29</v>
      </c>
      <c r="O532" s="4" t="s">
        <v>23</v>
      </c>
      <c r="P532" s="4" t="s">
        <v>24</v>
      </c>
      <c r="Q532" s="11">
        <v>1780797.13</v>
      </c>
      <c r="R532" s="4" t="s">
        <v>416</v>
      </c>
      <c r="S532" s="12" t="s">
        <v>417</v>
      </c>
    </row>
    <row r="533" spans="1:19" x14ac:dyDescent="0.25">
      <c r="A533" s="9" t="s">
        <v>485</v>
      </c>
      <c r="B533" s="9" t="s">
        <v>291</v>
      </c>
      <c r="C533" s="4">
        <v>201000163</v>
      </c>
      <c r="D533" s="4" t="s">
        <v>487</v>
      </c>
      <c r="E533" s="4" t="str">
        <f>"004752010"</f>
        <v>004752010</v>
      </c>
      <c r="F533" s="10">
        <v>40106</v>
      </c>
      <c r="G533" s="11">
        <v>33255.85</v>
      </c>
      <c r="H533" s="11">
        <v>0</v>
      </c>
      <c r="I533" s="4"/>
      <c r="J533" s="4"/>
      <c r="K533" s="11">
        <v>0</v>
      </c>
      <c r="L533" s="4"/>
      <c r="M533" s="4"/>
      <c r="N533" s="11">
        <v>33255.85</v>
      </c>
      <c r="O533" s="4" t="s">
        <v>56</v>
      </c>
      <c r="P533" s="4" t="s">
        <v>57</v>
      </c>
      <c r="Q533" s="11">
        <v>0</v>
      </c>
      <c r="R533" s="4"/>
      <c r="S533" s="12"/>
    </row>
    <row r="534" spans="1:19" x14ac:dyDescent="0.25">
      <c r="A534" s="9" t="s">
        <v>485</v>
      </c>
      <c r="B534" s="9" t="s">
        <v>291</v>
      </c>
      <c r="C534" s="4">
        <v>201000278</v>
      </c>
      <c r="D534" s="4"/>
      <c r="E534" s="4" t="str">
        <f>"017082010"</f>
        <v>017082010</v>
      </c>
      <c r="F534" s="10">
        <v>40149</v>
      </c>
      <c r="G534" s="11">
        <v>400000</v>
      </c>
      <c r="H534" s="11">
        <v>400000</v>
      </c>
      <c r="I534" s="4" t="s">
        <v>142</v>
      </c>
      <c r="J534" s="4" t="s">
        <v>143</v>
      </c>
      <c r="K534" s="11">
        <v>0</v>
      </c>
      <c r="L534" s="4"/>
      <c r="M534" s="4"/>
      <c r="N534" s="11">
        <v>0</v>
      </c>
      <c r="O534" s="4"/>
      <c r="P534" s="4"/>
      <c r="Q534" s="11">
        <v>0</v>
      </c>
      <c r="R534" s="4"/>
      <c r="S534" s="12"/>
    </row>
    <row r="535" spans="1:19" x14ac:dyDescent="0.25">
      <c r="A535" s="9" t="s">
        <v>485</v>
      </c>
      <c r="B535" s="9" t="s">
        <v>291</v>
      </c>
      <c r="C535" s="4">
        <v>201000352</v>
      </c>
      <c r="D535" s="4"/>
      <c r="E535" s="4" t="str">
        <f>"013622010"</f>
        <v>013622010</v>
      </c>
      <c r="F535" s="10">
        <v>40137</v>
      </c>
      <c r="G535" s="11">
        <v>2426065.31</v>
      </c>
      <c r="H535" s="11">
        <v>2156617.44</v>
      </c>
      <c r="I535" s="4" t="s">
        <v>98</v>
      </c>
      <c r="J535" s="4" t="s">
        <v>99</v>
      </c>
      <c r="K535" s="11">
        <v>0</v>
      </c>
      <c r="L535" s="4"/>
      <c r="M535" s="4"/>
      <c r="N535" s="11">
        <v>0</v>
      </c>
      <c r="O535" s="4"/>
      <c r="P535" s="4"/>
      <c r="Q535" s="11">
        <v>269447.87</v>
      </c>
      <c r="R535" s="4" t="s">
        <v>98</v>
      </c>
      <c r="S535" s="12" t="s">
        <v>99</v>
      </c>
    </row>
    <row r="536" spans="1:19" x14ac:dyDescent="0.25">
      <c r="A536" s="9" t="s">
        <v>485</v>
      </c>
      <c r="B536" s="9" t="s">
        <v>291</v>
      </c>
      <c r="C536" s="4">
        <v>201000352</v>
      </c>
      <c r="D536" s="4"/>
      <c r="E536" s="4" t="str">
        <f>"013642010"</f>
        <v>013642010</v>
      </c>
      <c r="F536" s="10">
        <v>40140</v>
      </c>
      <c r="G536" s="11">
        <v>115734.3</v>
      </c>
      <c r="H536" s="11">
        <v>107560.25</v>
      </c>
      <c r="I536" s="4" t="s">
        <v>98</v>
      </c>
      <c r="J536" s="4" t="s">
        <v>99</v>
      </c>
      <c r="K536" s="11">
        <v>0</v>
      </c>
      <c r="L536" s="4"/>
      <c r="M536" s="4"/>
      <c r="N536" s="11">
        <v>0</v>
      </c>
      <c r="O536" s="4"/>
      <c r="P536" s="4"/>
      <c r="Q536" s="11">
        <v>8174.05</v>
      </c>
      <c r="R536" s="4" t="s">
        <v>98</v>
      </c>
      <c r="S536" s="12" t="s">
        <v>99</v>
      </c>
    </row>
    <row r="537" spans="1:19" x14ac:dyDescent="0.25">
      <c r="A537" s="9" t="s">
        <v>485</v>
      </c>
      <c r="B537" s="9" t="s">
        <v>291</v>
      </c>
      <c r="C537" s="4">
        <v>201000352</v>
      </c>
      <c r="D537" s="4"/>
      <c r="E537" s="4" t="str">
        <f>"013662010"</f>
        <v>013662010</v>
      </c>
      <c r="F537" s="10">
        <v>40140</v>
      </c>
      <c r="G537" s="11">
        <v>97072.99</v>
      </c>
      <c r="H537" s="11">
        <v>91238.35</v>
      </c>
      <c r="I537" s="4" t="s">
        <v>98</v>
      </c>
      <c r="J537" s="4" t="s">
        <v>99</v>
      </c>
      <c r="K537" s="11">
        <v>0</v>
      </c>
      <c r="L537" s="4"/>
      <c r="M537" s="4"/>
      <c r="N537" s="11">
        <v>0</v>
      </c>
      <c r="O537" s="4"/>
      <c r="P537" s="4"/>
      <c r="Q537" s="11">
        <v>5834.64</v>
      </c>
      <c r="R537" s="4" t="s">
        <v>98</v>
      </c>
      <c r="S537" s="12" t="s">
        <v>99</v>
      </c>
    </row>
    <row r="538" spans="1:19" x14ac:dyDescent="0.25">
      <c r="A538" s="9" t="s">
        <v>485</v>
      </c>
      <c r="B538" s="9" t="s">
        <v>291</v>
      </c>
      <c r="C538" s="4">
        <v>201000444</v>
      </c>
      <c r="D538" s="4" t="s">
        <v>488</v>
      </c>
      <c r="E538" s="4" t="str">
        <f>"008932010"</f>
        <v>008932010</v>
      </c>
      <c r="F538" s="10">
        <v>40122</v>
      </c>
      <c r="G538" s="11">
        <v>90000</v>
      </c>
      <c r="H538" s="11">
        <v>90000</v>
      </c>
      <c r="I538" s="4" t="s">
        <v>30</v>
      </c>
      <c r="J538" s="4" t="s">
        <v>31</v>
      </c>
      <c r="K538" s="11">
        <v>0</v>
      </c>
      <c r="L538" s="4"/>
      <c r="M538" s="4"/>
      <c r="N538" s="11">
        <v>0</v>
      </c>
      <c r="O538" s="4"/>
      <c r="P538" s="4"/>
      <c r="Q538" s="11">
        <v>0</v>
      </c>
      <c r="R538" s="4"/>
      <c r="S538" s="12"/>
    </row>
    <row r="539" spans="1:19" x14ac:dyDescent="0.25">
      <c r="A539" s="9" t="s">
        <v>485</v>
      </c>
      <c r="B539" s="9" t="s">
        <v>291</v>
      </c>
      <c r="C539" s="4">
        <v>201000494</v>
      </c>
      <c r="D539" s="4"/>
      <c r="E539" s="4" t="str">
        <f>"009472010"</f>
        <v>009472010</v>
      </c>
      <c r="F539" s="10">
        <v>40122</v>
      </c>
      <c r="G539" s="11">
        <v>489748.17</v>
      </c>
      <c r="H539" s="11">
        <v>486490.69</v>
      </c>
      <c r="I539" s="4" t="s">
        <v>142</v>
      </c>
      <c r="J539" s="4" t="s">
        <v>143</v>
      </c>
      <c r="K539" s="11">
        <v>0</v>
      </c>
      <c r="L539" s="4"/>
      <c r="M539" s="4"/>
      <c r="N539" s="11">
        <v>0</v>
      </c>
      <c r="O539" s="4"/>
      <c r="P539" s="4"/>
      <c r="Q539" s="11">
        <v>3257.48</v>
      </c>
      <c r="R539" s="4" t="s">
        <v>142</v>
      </c>
      <c r="S539" s="12" t="s">
        <v>143</v>
      </c>
    </row>
    <row r="540" spans="1:19" x14ac:dyDescent="0.25">
      <c r="A540" s="9" t="s">
        <v>485</v>
      </c>
      <c r="B540" s="9" t="s">
        <v>291</v>
      </c>
      <c r="C540" s="4">
        <v>201000498</v>
      </c>
      <c r="D540" s="4" t="s">
        <v>489</v>
      </c>
      <c r="E540" s="4" t="str">
        <f>"010292010"</f>
        <v>010292010</v>
      </c>
      <c r="F540" s="10">
        <v>40126</v>
      </c>
      <c r="G540" s="11">
        <v>200000</v>
      </c>
      <c r="H540" s="11">
        <v>200000</v>
      </c>
      <c r="I540" s="4" t="s">
        <v>98</v>
      </c>
      <c r="J540" s="4" t="s">
        <v>99</v>
      </c>
      <c r="K540" s="11">
        <v>0</v>
      </c>
      <c r="L540" s="4"/>
      <c r="M540" s="4"/>
      <c r="N540" s="11">
        <v>0</v>
      </c>
      <c r="O540" s="4"/>
      <c r="P540" s="4"/>
      <c r="Q540" s="11">
        <v>0</v>
      </c>
      <c r="R540" s="4"/>
      <c r="S540" s="12"/>
    </row>
    <row r="541" spans="1:19" x14ac:dyDescent="0.25">
      <c r="A541" s="9" t="s">
        <v>485</v>
      </c>
      <c r="B541" s="9" t="s">
        <v>291</v>
      </c>
      <c r="C541" s="4">
        <v>201000551</v>
      </c>
      <c r="D541" s="4" t="s">
        <v>490</v>
      </c>
      <c r="E541" s="4" t="str">
        <f>"010052010"</f>
        <v>010052010</v>
      </c>
      <c r="F541" s="10">
        <v>40123</v>
      </c>
      <c r="G541" s="11">
        <v>1349</v>
      </c>
      <c r="H541" s="11">
        <v>1349</v>
      </c>
      <c r="I541" s="4" t="s">
        <v>23</v>
      </c>
      <c r="J541" s="4" t="s">
        <v>24</v>
      </c>
      <c r="K541" s="11">
        <v>0</v>
      </c>
      <c r="L541" s="4"/>
      <c r="M541" s="4"/>
      <c r="N541" s="11">
        <v>0</v>
      </c>
      <c r="O541" s="4"/>
      <c r="P541" s="4"/>
      <c r="Q541" s="11">
        <v>0</v>
      </c>
      <c r="R541" s="4"/>
      <c r="S541" s="12"/>
    </row>
    <row r="542" spans="1:19" x14ac:dyDescent="0.25">
      <c r="A542" s="9" t="s">
        <v>485</v>
      </c>
      <c r="B542" s="9" t="s">
        <v>291</v>
      </c>
      <c r="C542" s="4">
        <v>201000561</v>
      </c>
      <c r="D542" s="4" t="s">
        <v>491</v>
      </c>
      <c r="E542" s="4" t="str">
        <f>"010392010"</f>
        <v>010392010</v>
      </c>
      <c r="F542" s="10">
        <v>40126</v>
      </c>
      <c r="G542" s="11">
        <v>250000</v>
      </c>
      <c r="H542" s="11">
        <v>250000</v>
      </c>
      <c r="I542" s="4" t="s">
        <v>72</v>
      </c>
      <c r="J542" s="4" t="s">
        <v>73</v>
      </c>
      <c r="K542" s="11">
        <v>0</v>
      </c>
      <c r="L542" s="4"/>
      <c r="M542" s="4"/>
      <c r="N542" s="11">
        <v>0</v>
      </c>
      <c r="O542" s="4"/>
      <c r="P542" s="4"/>
      <c r="Q542" s="11">
        <v>0</v>
      </c>
      <c r="R542" s="4"/>
      <c r="S542" s="12"/>
    </row>
    <row r="543" spans="1:19" x14ac:dyDescent="0.25">
      <c r="A543" s="9" t="s">
        <v>485</v>
      </c>
      <c r="B543" s="9" t="s">
        <v>291</v>
      </c>
      <c r="C543" s="4">
        <v>201000613</v>
      </c>
      <c r="D543" s="4" t="s">
        <v>492</v>
      </c>
      <c r="E543" s="4" t="str">
        <f>"011412010"</f>
        <v>011412010</v>
      </c>
      <c r="F543" s="10">
        <v>40129</v>
      </c>
      <c r="G543" s="11">
        <v>120000</v>
      </c>
      <c r="H543" s="11">
        <v>120000</v>
      </c>
      <c r="I543" s="4" t="s">
        <v>23</v>
      </c>
      <c r="J543" s="4" t="s">
        <v>24</v>
      </c>
      <c r="K543" s="11">
        <v>0</v>
      </c>
      <c r="L543" s="4"/>
      <c r="M543" s="4"/>
      <c r="N543" s="11">
        <v>0</v>
      </c>
      <c r="O543" s="4"/>
      <c r="P543" s="4"/>
      <c r="Q543" s="11">
        <v>0</v>
      </c>
      <c r="R543" s="4"/>
      <c r="S543" s="12"/>
    </row>
    <row r="544" spans="1:19" x14ac:dyDescent="0.25">
      <c r="A544" s="9" t="s">
        <v>485</v>
      </c>
      <c r="B544" s="9" t="s">
        <v>291</v>
      </c>
      <c r="C544" s="4">
        <v>201000630</v>
      </c>
      <c r="D544" s="4" t="s">
        <v>493</v>
      </c>
      <c r="E544" s="4" t="str">
        <f>"022212010"</f>
        <v>022212010</v>
      </c>
      <c r="F544" s="10">
        <v>40164</v>
      </c>
      <c r="G544" s="11">
        <v>64750</v>
      </c>
      <c r="H544" s="11">
        <v>64750</v>
      </c>
      <c r="I544" s="4" t="s">
        <v>23</v>
      </c>
      <c r="J544" s="4" t="s">
        <v>24</v>
      </c>
      <c r="K544" s="11">
        <v>0</v>
      </c>
      <c r="L544" s="4"/>
      <c r="M544" s="4"/>
      <c r="N544" s="11">
        <v>0</v>
      </c>
      <c r="O544" s="4"/>
      <c r="P544" s="4"/>
      <c r="Q544" s="11">
        <v>0</v>
      </c>
      <c r="R544" s="4"/>
      <c r="S544" s="12"/>
    </row>
    <row r="545" spans="1:19" x14ac:dyDescent="0.25">
      <c r="A545" s="9" t="s">
        <v>485</v>
      </c>
      <c r="B545" s="9" t="s">
        <v>291</v>
      </c>
      <c r="C545" s="4">
        <v>201000731</v>
      </c>
      <c r="D545" s="4"/>
      <c r="E545" s="4" t="str">
        <f>"015542010"</f>
        <v>015542010</v>
      </c>
      <c r="F545" s="10">
        <v>40142</v>
      </c>
      <c r="G545" s="11">
        <v>200000</v>
      </c>
      <c r="H545" s="11">
        <v>200000</v>
      </c>
      <c r="I545" s="4" t="s">
        <v>72</v>
      </c>
      <c r="J545" s="4" t="s">
        <v>73</v>
      </c>
      <c r="K545" s="11">
        <v>0</v>
      </c>
      <c r="L545" s="4"/>
      <c r="M545" s="4"/>
      <c r="N545" s="11">
        <v>0</v>
      </c>
      <c r="O545" s="4"/>
      <c r="P545" s="4"/>
      <c r="Q545" s="11">
        <v>0</v>
      </c>
      <c r="R545" s="4"/>
      <c r="S545" s="12"/>
    </row>
    <row r="546" spans="1:19" x14ac:dyDescent="0.25">
      <c r="A546" s="9" t="s">
        <v>485</v>
      </c>
      <c r="B546" s="9" t="s">
        <v>291</v>
      </c>
      <c r="C546" s="4">
        <v>201000737</v>
      </c>
      <c r="D546" s="4"/>
      <c r="E546" s="4" t="str">
        <f>"015202010"</f>
        <v>015202010</v>
      </c>
      <c r="F546" s="10">
        <v>40142</v>
      </c>
      <c r="G546" s="11">
        <v>16712.37</v>
      </c>
      <c r="H546" s="11">
        <v>9234</v>
      </c>
      <c r="I546" s="4" t="s">
        <v>98</v>
      </c>
      <c r="J546" s="4" t="s">
        <v>99</v>
      </c>
      <c r="K546" s="11">
        <v>0</v>
      </c>
      <c r="L546" s="4"/>
      <c r="M546" s="4"/>
      <c r="N546" s="11">
        <v>0</v>
      </c>
      <c r="O546" s="4"/>
      <c r="P546" s="4"/>
      <c r="Q546" s="11">
        <v>7478.37</v>
      </c>
      <c r="R546" s="4" t="s">
        <v>98</v>
      </c>
      <c r="S546" s="12" t="s">
        <v>99</v>
      </c>
    </row>
    <row r="547" spans="1:19" x14ac:dyDescent="0.25">
      <c r="A547" s="9" t="s">
        <v>485</v>
      </c>
      <c r="B547" s="9" t="s">
        <v>291</v>
      </c>
      <c r="C547" s="4">
        <v>201000753</v>
      </c>
      <c r="D547" s="4" t="s">
        <v>494</v>
      </c>
      <c r="E547" s="4" t="str">
        <f>"014942010"</f>
        <v>014942010</v>
      </c>
      <c r="F547" s="10">
        <v>40142</v>
      </c>
      <c r="G547" s="11">
        <v>2526.2199999999998</v>
      </c>
      <c r="H547" s="11">
        <v>2526.2199999999998</v>
      </c>
      <c r="I547" s="4" t="s">
        <v>23</v>
      </c>
      <c r="J547" s="4" t="s">
        <v>24</v>
      </c>
      <c r="K547" s="11">
        <v>0</v>
      </c>
      <c r="L547" s="4"/>
      <c r="M547" s="4"/>
      <c r="N547" s="11">
        <v>0</v>
      </c>
      <c r="O547" s="4"/>
      <c r="P547" s="4"/>
      <c r="Q547" s="11">
        <v>0</v>
      </c>
      <c r="R547" s="4"/>
      <c r="S547" s="12"/>
    </row>
    <row r="548" spans="1:19" x14ac:dyDescent="0.25">
      <c r="A548" s="9" t="s">
        <v>485</v>
      </c>
      <c r="B548" s="9" t="s">
        <v>291</v>
      </c>
      <c r="C548" s="4">
        <v>201000757</v>
      </c>
      <c r="D548" s="4" t="s">
        <v>495</v>
      </c>
      <c r="E548" s="4" t="str">
        <f>"014042010"</f>
        <v>014042010</v>
      </c>
      <c r="F548" s="10">
        <v>40141</v>
      </c>
      <c r="G548" s="11">
        <v>200000</v>
      </c>
      <c r="H548" s="11">
        <v>200000</v>
      </c>
      <c r="I548" s="4" t="s">
        <v>72</v>
      </c>
      <c r="J548" s="4" t="s">
        <v>73</v>
      </c>
      <c r="K548" s="11">
        <v>0</v>
      </c>
      <c r="L548" s="4"/>
      <c r="M548" s="4"/>
      <c r="N548" s="11">
        <v>0</v>
      </c>
      <c r="O548" s="4"/>
      <c r="P548" s="4"/>
      <c r="Q548" s="11">
        <v>0</v>
      </c>
      <c r="R548" s="4"/>
      <c r="S548" s="12"/>
    </row>
    <row r="549" spans="1:19" x14ac:dyDescent="0.25">
      <c r="A549" s="9" t="s">
        <v>485</v>
      </c>
      <c r="B549" s="9" t="s">
        <v>291</v>
      </c>
      <c r="C549" s="4">
        <v>201000816</v>
      </c>
      <c r="D549" s="4" t="s">
        <v>496</v>
      </c>
      <c r="E549" s="4" t="str">
        <f>"015702010"</f>
        <v>015702010</v>
      </c>
      <c r="F549" s="10">
        <v>40142</v>
      </c>
      <c r="G549" s="11">
        <v>7514.58</v>
      </c>
      <c r="H549" s="11">
        <v>7514.58</v>
      </c>
      <c r="I549" s="4" t="s">
        <v>23</v>
      </c>
      <c r="J549" s="4" t="s">
        <v>24</v>
      </c>
      <c r="K549" s="11">
        <v>0</v>
      </c>
      <c r="L549" s="4"/>
      <c r="M549" s="4"/>
      <c r="N549" s="11">
        <v>0</v>
      </c>
      <c r="O549" s="4"/>
      <c r="P549" s="4"/>
      <c r="Q549" s="11">
        <v>0</v>
      </c>
      <c r="R549" s="4"/>
      <c r="S549" s="12"/>
    </row>
    <row r="550" spans="1:19" x14ac:dyDescent="0.25">
      <c r="A550" s="9" t="s">
        <v>485</v>
      </c>
      <c r="B550" s="9" t="s">
        <v>291</v>
      </c>
      <c r="C550" s="4">
        <v>201000824</v>
      </c>
      <c r="D550" s="4" t="s">
        <v>497</v>
      </c>
      <c r="E550" s="4" t="str">
        <f>"015722010"</f>
        <v>015722010</v>
      </c>
      <c r="F550" s="10">
        <v>40142</v>
      </c>
      <c r="G550" s="11">
        <v>200000</v>
      </c>
      <c r="H550" s="11">
        <v>200000</v>
      </c>
      <c r="I550" s="4" t="s">
        <v>72</v>
      </c>
      <c r="J550" s="4" t="s">
        <v>73</v>
      </c>
      <c r="K550" s="11">
        <v>0</v>
      </c>
      <c r="L550" s="4"/>
      <c r="M550" s="4"/>
      <c r="N550" s="11">
        <v>0</v>
      </c>
      <c r="O550" s="4"/>
      <c r="P550" s="4"/>
      <c r="Q550" s="11">
        <v>0</v>
      </c>
      <c r="R550" s="4"/>
      <c r="S550" s="12"/>
    </row>
    <row r="551" spans="1:19" x14ac:dyDescent="0.25">
      <c r="A551" s="9" t="s">
        <v>485</v>
      </c>
      <c r="B551" s="9" t="s">
        <v>291</v>
      </c>
      <c r="C551" s="4">
        <v>201000899</v>
      </c>
      <c r="D551" s="4" t="s">
        <v>2534</v>
      </c>
      <c r="E551" s="4" t="str">
        <f>"017202010"</f>
        <v>017202010</v>
      </c>
      <c r="F551" s="10">
        <v>40149</v>
      </c>
      <c r="G551" s="11">
        <v>15000</v>
      </c>
      <c r="H551" s="11">
        <v>0</v>
      </c>
      <c r="I551" s="4"/>
      <c r="J551" s="4"/>
      <c r="K551" s="11">
        <v>15000</v>
      </c>
      <c r="L551" s="4" t="s">
        <v>30</v>
      </c>
      <c r="M551" s="4" t="s">
        <v>31</v>
      </c>
      <c r="N551" s="11">
        <v>0</v>
      </c>
      <c r="O551" s="4"/>
      <c r="P551" s="4"/>
      <c r="Q551" s="11">
        <v>0</v>
      </c>
      <c r="R551" s="4"/>
      <c r="S551" s="12"/>
    </row>
    <row r="552" spans="1:19" x14ac:dyDescent="0.25">
      <c r="A552" s="9" t="s">
        <v>485</v>
      </c>
      <c r="B552" s="9" t="s">
        <v>291</v>
      </c>
      <c r="C552" s="4">
        <v>201000899</v>
      </c>
      <c r="D552" s="4" t="s">
        <v>498</v>
      </c>
      <c r="E552" s="4" t="str">
        <f>"017182010"</f>
        <v>017182010</v>
      </c>
      <c r="F552" s="10">
        <v>40149</v>
      </c>
      <c r="G552" s="11">
        <v>5000</v>
      </c>
      <c r="H552" s="11">
        <v>5000</v>
      </c>
      <c r="I552" s="4" t="s">
        <v>30</v>
      </c>
      <c r="J552" s="4" t="s">
        <v>31</v>
      </c>
      <c r="K552" s="11">
        <v>0</v>
      </c>
      <c r="L552" s="4"/>
      <c r="M552" s="4"/>
      <c r="N552" s="11">
        <v>0</v>
      </c>
      <c r="O552" s="4"/>
      <c r="P552" s="4"/>
      <c r="Q552" s="11">
        <v>0</v>
      </c>
      <c r="R552" s="4"/>
      <c r="S552" s="12"/>
    </row>
    <row r="553" spans="1:19" x14ac:dyDescent="0.25">
      <c r="A553" s="9" t="s">
        <v>485</v>
      </c>
      <c r="B553" s="9" t="s">
        <v>291</v>
      </c>
      <c r="C553" s="4">
        <v>201001067</v>
      </c>
      <c r="D553" s="4" t="s">
        <v>499</v>
      </c>
      <c r="E553" s="4" t="str">
        <f>"021432010"</f>
        <v>021432010</v>
      </c>
      <c r="F553" s="10">
        <v>40161</v>
      </c>
      <c r="G553" s="11">
        <v>1000000</v>
      </c>
      <c r="H553" s="11">
        <v>1000000</v>
      </c>
      <c r="I553" s="4" t="s">
        <v>72</v>
      </c>
      <c r="J553" s="4" t="s">
        <v>73</v>
      </c>
      <c r="K553" s="11">
        <v>0</v>
      </c>
      <c r="L553" s="4"/>
      <c r="M553" s="4"/>
      <c r="N553" s="11">
        <v>0</v>
      </c>
      <c r="O553" s="4"/>
      <c r="P553" s="4"/>
      <c r="Q553" s="11">
        <v>0</v>
      </c>
      <c r="R553" s="4"/>
      <c r="S553" s="12"/>
    </row>
    <row r="554" spans="1:19" x14ac:dyDescent="0.25">
      <c r="A554" s="9" t="s">
        <v>485</v>
      </c>
      <c r="B554" s="9" t="s">
        <v>291</v>
      </c>
      <c r="C554" s="4">
        <v>201001068</v>
      </c>
      <c r="D554" s="4" t="s">
        <v>500</v>
      </c>
      <c r="E554" s="4" t="str">
        <f>"023532010"</f>
        <v>023532010</v>
      </c>
      <c r="F554" s="10">
        <v>40165</v>
      </c>
      <c r="G554" s="11">
        <v>2569739.8199999998</v>
      </c>
      <c r="H554" s="11">
        <v>2216592</v>
      </c>
      <c r="I554" s="4" t="s">
        <v>88</v>
      </c>
      <c r="J554" s="4" t="s">
        <v>89</v>
      </c>
      <c r="K554" s="11">
        <v>0</v>
      </c>
      <c r="L554" s="4"/>
      <c r="M554" s="4"/>
      <c r="N554" s="11">
        <v>0</v>
      </c>
      <c r="O554" s="4"/>
      <c r="P554" s="4"/>
      <c r="Q554" s="11">
        <v>353147.82</v>
      </c>
      <c r="R554" s="4" t="s">
        <v>401</v>
      </c>
      <c r="S554" s="12" t="s">
        <v>402</v>
      </c>
    </row>
    <row r="555" spans="1:19" x14ac:dyDescent="0.25">
      <c r="A555" s="9" t="s">
        <v>485</v>
      </c>
      <c r="B555" s="9" t="s">
        <v>291</v>
      </c>
      <c r="C555" s="4">
        <v>201001104</v>
      </c>
      <c r="D555" s="4" t="s">
        <v>501</v>
      </c>
      <c r="E555" s="4" t="str">
        <f>"020982010"</f>
        <v>020982010</v>
      </c>
      <c r="F555" s="10">
        <v>40158</v>
      </c>
      <c r="G555" s="11">
        <v>75000</v>
      </c>
      <c r="H555" s="11">
        <v>75000</v>
      </c>
      <c r="I555" s="4" t="s">
        <v>68</v>
      </c>
      <c r="J555" s="4" t="s">
        <v>69</v>
      </c>
      <c r="K555" s="11">
        <v>0</v>
      </c>
      <c r="L555" s="4"/>
      <c r="M555" s="4"/>
      <c r="N555" s="11">
        <v>0</v>
      </c>
      <c r="O555" s="4"/>
      <c r="P555" s="4"/>
      <c r="Q555" s="11">
        <v>0</v>
      </c>
      <c r="R555" s="4"/>
      <c r="S555" s="12"/>
    </row>
    <row r="556" spans="1:19" x14ac:dyDescent="0.25">
      <c r="A556" s="9" t="s">
        <v>485</v>
      </c>
      <c r="B556" s="9" t="s">
        <v>291</v>
      </c>
      <c r="C556" s="4">
        <v>201001108</v>
      </c>
      <c r="D556" s="4" t="s">
        <v>502</v>
      </c>
      <c r="E556" s="4" t="str">
        <f>"021392010"</f>
        <v>021392010</v>
      </c>
      <c r="F556" s="10">
        <v>40211</v>
      </c>
      <c r="G556" s="11">
        <v>4169.7</v>
      </c>
      <c r="H556" s="11">
        <v>4417</v>
      </c>
      <c r="I556" s="4" t="s">
        <v>407</v>
      </c>
      <c r="J556" s="4" t="s">
        <v>408</v>
      </c>
      <c r="K556" s="11">
        <v>0</v>
      </c>
      <c r="L556" s="4"/>
      <c r="M556" s="4"/>
      <c r="N556" s="11">
        <v>0</v>
      </c>
      <c r="O556" s="4"/>
      <c r="P556" s="4"/>
      <c r="Q556" s="11">
        <v>0</v>
      </c>
      <c r="R556" s="4"/>
      <c r="S556" s="12"/>
    </row>
    <row r="557" spans="1:19" x14ac:dyDescent="0.25">
      <c r="A557" s="9" t="s">
        <v>485</v>
      </c>
      <c r="B557" s="9" t="s">
        <v>291</v>
      </c>
      <c r="C557" s="4">
        <v>201001109</v>
      </c>
      <c r="D557" s="4" t="s">
        <v>503</v>
      </c>
      <c r="E557" s="4" t="str">
        <f>"021532010"</f>
        <v>021532010</v>
      </c>
      <c r="F557" s="10">
        <v>40211</v>
      </c>
      <c r="G557" s="11">
        <v>18119.900000000001</v>
      </c>
      <c r="H557" s="11">
        <v>19305</v>
      </c>
      <c r="I557" s="4" t="s">
        <v>407</v>
      </c>
      <c r="J557" s="4" t="s">
        <v>408</v>
      </c>
      <c r="K557" s="11">
        <v>0</v>
      </c>
      <c r="L557" s="4"/>
      <c r="M557" s="4"/>
      <c r="N557" s="11">
        <v>0</v>
      </c>
      <c r="O557" s="4"/>
      <c r="P557" s="4"/>
      <c r="Q557" s="11">
        <v>0</v>
      </c>
      <c r="R557" s="4"/>
      <c r="S557" s="12"/>
    </row>
    <row r="558" spans="1:19" x14ac:dyDescent="0.25">
      <c r="A558" s="9" t="s">
        <v>485</v>
      </c>
      <c r="B558" s="9" t="s">
        <v>291</v>
      </c>
      <c r="C558" s="4">
        <v>201001111</v>
      </c>
      <c r="D558" s="4" t="s">
        <v>504</v>
      </c>
      <c r="E558" s="4" t="str">
        <f>"021492010"</f>
        <v>021492010</v>
      </c>
      <c r="F558" s="10">
        <v>40211</v>
      </c>
      <c r="G558" s="11">
        <v>694.95</v>
      </c>
      <c r="H558" s="11">
        <v>740</v>
      </c>
      <c r="I558" s="4" t="s">
        <v>407</v>
      </c>
      <c r="J558" s="4" t="s">
        <v>408</v>
      </c>
      <c r="K558" s="11">
        <v>0</v>
      </c>
      <c r="L558" s="4"/>
      <c r="M558" s="4"/>
      <c r="N558" s="11">
        <v>0</v>
      </c>
      <c r="O558" s="4"/>
      <c r="P558" s="4"/>
      <c r="Q558" s="11">
        <v>0</v>
      </c>
      <c r="R558" s="4"/>
      <c r="S558" s="12"/>
    </row>
    <row r="559" spans="1:19" x14ac:dyDescent="0.25">
      <c r="A559" s="9" t="s">
        <v>485</v>
      </c>
      <c r="B559" s="9" t="s">
        <v>291</v>
      </c>
      <c r="C559" s="4">
        <v>201001111</v>
      </c>
      <c r="D559" s="4" t="s">
        <v>504</v>
      </c>
      <c r="E559" s="4" t="str">
        <f>"021512010"</f>
        <v>021512010</v>
      </c>
      <c r="F559" s="10">
        <v>40211</v>
      </c>
      <c r="G559" s="11">
        <v>9721.49</v>
      </c>
      <c r="H559" s="11">
        <v>10350</v>
      </c>
      <c r="I559" s="4" t="s">
        <v>407</v>
      </c>
      <c r="J559" s="4" t="s">
        <v>408</v>
      </c>
      <c r="K559" s="11">
        <v>0</v>
      </c>
      <c r="L559" s="4"/>
      <c r="M559" s="4"/>
      <c r="N559" s="11">
        <v>0</v>
      </c>
      <c r="O559" s="4"/>
      <c r="P559" s="4"/>
      <c r="Q559" s="11">
        <v>0</v>
      </c>
      <c r="R559" s="4"/>
      <c r="S559" s="12"/>
    </row>
    <row r="560" spans="1:19" x14ac:dyDescent="0.25">
      <c r="A560" s="9" t="s">
        <v>485</v>
      </c>
      <c r="B560" s="9" t="s">
        <v>291</v>
      </c>
      <c r="C560" s="4">
        <v>201001126</v>
      </c>
      <c r="D560" s="4"/>
      <c r="E560" s="4" t="str">
        <f>"021972010"</f>
        <v>021972010</v>
      </c>
      <c r="F560" s="10">
        <v>40161</v>
      </c>
      <c r="G560" s="11">
        <v>10000</v>
      </c>
      <c r="H560" s="11">
        <v>10000</v>
      </c>
      <c r="I560" s="4" t="s">
        <v>72</v>
      </c>
      <c r="J560" s="4" t="s">
        <v>73</v>
      </c>
      <c r="K560" s="11">
        <v>0</v>
      </c>
      <c r="L560" s="4"/>
      <c r="M560" s="4"/>
      <c r="N560" s="11">
        <v>0</v>
      </c>
      <c r="O560" s="4"/>
      <c r="P560" s="4"/>
      <c r="Q560" s="11">
        <v>0</v>
      </c>
      <c r="R560" s="4"/>
      <c r="S560" s="12"/>
    </row>
    <row r="561" spans="1:19" x14ac:dyDescent="0.25">
      <c r="A561" s="9" t="s">
        <v>485</v>
      </c>
      <c r="B561" s="9" t="s">
        <v>485</v>
      </c>
      <c r="C561" s="4">
        <v>201001146</v>
      </c>
      <c r="D561" s="4" t="s">
        <v>505</v>
      </c>
      <c r="E561" s="4" t="str">
        <f>"022152010"</f>
        <v>022152010</v>
      </c>
      <c r="F561" s="10">
        <v>40164</v>
      </c>
      <c r="G561" s="11">
        <v>350</v>
      </c>
      <c r="H561" s="11">
        <v>0</v>
      </c>
      <c r="I561" s="4"/>
      <c r="J561" s="4"/>
      <c r="K561" s="11">
        <v>0</v>
      </c>
      <c r="L561" s="4"/>
      <c r="M561" s="4"/>
      <c r="N561" s="11">
        <v>350</v>
      </c>
      <c r="O561" s="4" t="s">
        <v>56</v>
      </c>
      <c r="P561" s="4" t="s">
        <v>57</v>
      </c>
      <c r="Q561" s="11">
        <v>0</v>
      </c>
      <c r="R561" s="4"/>
      <c r="S561" s="12"/>
    </row>
    <row r="562" spans="1:19" x14ac:dyDescent="0.25">
      <c r="A562" s="9" t="s">
        <v>485</v>
      </c>
      <c r="B562" s="9" t="s">
        <v>291</v>
      </c>
      <c r="C562" s="4">
        <v>201001148</v>
      </c>
      <c r="D562" s="4" t="s">
        <v>506</v>
      </c>
      <c r="E562" s="4" t="str">
        <f>"022132010"</f>
        <v>022132010</v>
      </c>
      <c r="F562" s="10">
        <v>40161</v>
      </c>
      <c r="G562" s="11">
        <v>75000</v>
      </c>
      <c r="H562" s="11">
        <v>75000</v>
      </c>
      <c r="I562" s="4" t="s">
        <v>23</v>
      </c>
      <c r="J562" s="4" t="s">
        <v>24</v>
      </c>
      <c r="K562" s="11">
        <v>0</v>
      </c>
      <c r="L562" s="4"/>
      <c r="M562" s="4"/>
      <c r="N562" s="11">
        <v>0</v>
      </c>
      <c r="O562" s="4"/>
      <c r="P562" s="4"/>
      <c r="Q562" s="11">
        <v>0</v>
      </c>
      <c r="R562" s="4"/>
      <c r="S562" s="12"/>
    </row>
    <row r="563" spans="1:19" x14ac:dyDescent="0.25">
      <c r="A563" s="9" t="s">
        <v>485</v>
      </c>
      <c r="B563" s="9" t="s">
        <v>291</v>
      </c>
      <c r="C563" s="4">
        <v>201001154</v>
      </c>
      <c r="D563" s="4" t="s">
        <v>506</v>
      </c>
      <c r="E563" s="4" t="str">
        <f>"022272010"</f>
        <v>022272010</v>
      </c>
      <c r="F563" s="10">
        <v>40164</v>
      </c>
      <c r="G563" s="11">
        <v>50000</v>
      </c>
      <c r="H563" s="11">
        <v>50000</v>
      </c>
      <c r="I563" s="4" t="s">
        <v>23</v>
      </c>
      <c r="J563" s="4" t="s">
        <v>24</v>
      </c>
      <c r="K563" s="11">
        <v>0</v>
      </c>
      <c r="L563" s="4"/>
      <c r="M563" s="4"/>
      <c r="N563" s="11">
        <v>0</v>
      </c>
      <c r="O563" s="4"/>
      <c r="P563" s="4"/>
      <c r="Q563" s="11">
        <v>0</v>
      </c>
      <c r="R563" s="4"/>
      <c r="S563" s="12"/>
    </row>
    <row r="564" spans="1:19" x14ac:dyDescent="0.25">
      <c r="A564" s="9" t="s">
        <v>485</v>
      </c>
      <c r="B564" s="9" t="s">
        <v>291</v>
      </c>
      <c r="C564" s="4">
        <v>201001171</v>
      </c>
      <c r="D564" s="4" t="s">
        <v>507</v>
      </c>
      <c r="E564" s="4" t="str">
        <f>"023832010"</f>
        <v>023832010</v>
      </c>
      <c r="F564" s="10">
        <v>40165</v>
      </c>
      <c r="G564" s="11">
        <v>25000</v>
      </c>
      <c r="H564" s="11">
        <v>25000</v>
      </c>
      <c r="I564" s="4" t="s">
        <v>23</v>
      </c>
      <c r="J564" s="4" t="s">
        <v>24</v>
      </c>
      <c r="K564" s="11">
        <v>0</v>
      </c>
      <c r="L564" s="4"/>
      <c r="M564" s="4"/>
      <c r="N564" s="11">
        <v>0</v>
      </c>
      <c r="O564" s="4"/>
      <c r="P564" s="4"/>
      <c r="Q564" s="11">
        <v>0</v>
      </c>
      <c r="R564" s="4"/>
      <c r="S564" s="12"/>
    </row>
    <row r="565" spans="1:19" x14ac:dyDescent="0.25">
      <c r="A565" s="9" t="s">
        <v>485</v>
      </c>
      <c r="B565" s="9" t="s">
        <v>291</v>
      </c>
      <c r="C565" s="4">
        <v>201001186</v>
      </c>
      <c r="D565" s="4" t="s">
        <v>508</v>
      </c>
      <c r="E565" s="4" t="str">
        <f>"023212010"</f>
        <v>023212010</v>
      </c>
      <c r="F565" s="10">
        <v>40165</v>
      </c>
      <c r="G565" s="11">
        <v>436.7</v>
      </c>
      <c r="H565" s="11">
        <v>0</v>
      </c>
      <c r="I565" s="4"/>
      <c r="J565" s="4"/>
      <c r="K565" s="11">
        <v>0</v>
      </c>
      <c r="L565" s="4"/>
      <c r="M565" s="4"/>
      <c r="N565" s="11">
        <v>436.7</v>
      </c>
      <c r="O565" s="4" t="s">
        <v>56</v>
      </c>
      <c r="P565" s="4" t="s">
        <v>57</v>
      </c>
      <c r="Q565" s="11">
        <v>0</v>
      </c>
      <c r="R565" s="4"/>
      <c r="S565" s="12"/>
    </row>
    <row r="566" spans="1:19" x14ac:dyDescent="0.25">
      <c r="A566" s="9" t="s">
        <v>485</v>
      </c>
      <c r="B566" s="9" t="s">
        <v>291</v>
      </c>
      <c r="C566" s="4">
        <v>201001195</v>
      </c>
      <c r="D566" s="4" t="s">
        <v>509</v>
      </c>
      <c r="E566" s="4" t="str">
        <f>"024072010"</f>
        <v>024072010</v>
      </c>
      <c r="F566" s="10">
        <v>40170</v>
      </c>
      <c r="G566" s="11">
        <v>1350000</v>
      </c>
      <c r="H566" s="11">
        <v>1350000</v>
      </c>
      <c r="I566" s="4" t="s">
        <v>23</v>
      </c>
      <c r="J566" s="4" t="s">
        <v>24</v>
      </c>
      <c r="K566" s="11">
        <v>0</v>
      </c>
      <c r="L566" s="4"/>
      <c r="M566" s="4"/>
      <c r="N566" s="11">
        <v>0</v>
      </c>
      <c r="O566" s="4"/>
      <c r="P566" s="4"/>
      <c r="Q566" s="11">
        <v>0</v>
      </c>
      <c r="R566" s="4"/>
      <c r="S566" s="12"/>
    </row>
    <row r="567" spans="1:19" x14ac:dyDescent="0.25">
      <c r="A567" s="9" t="s">
        <v>485</v>
      </c>
      <c r="B567" s="9" t="s">
        <v>291</v>
      </c>
      <c r="C567" s="4">
        <v>201001258</v>
      </c>
      <c r="D567" s="4" t="s">
        <v>510</v>
      </c>
      <c r="E567" s="4" t="str">
        <f>"024492010"</f>
        <v>024492010</v>
      </c>
      <c r="F567" s="10">
        <v>40177</v>
      </c>
      <c r="G567" s="11">
        <v>15000</v>
      </c>
      <c r="H567" s="11">
        <v>15000</v>
      </c>
      <c r="I567" s="4" t="s">
        <v>23</v>
      </c>
      <c r="J567" s="4" t="s">
        <v>24</v>
      </c>
      <c r="K567" s="11">
        <v>0</v>
      </c>
      <c r="L567" s="4"/>
      <c r="M567" s="4"/>
      <c r="N567" s="11">
        <v>0</v>
      </c>
      <c r="O567" s="4"/>
      <c r="P567" s="4"/>
      <c r="Q567" s="11">
        <v>0</v>
      </c>
      <c r="R567" s="4"/>
      <c r="S567" s="12"/>
    </row>
    <row r="568" spans="1:19" x14ac:dyDescent="0.25">
      <c r="A568" s="9" t="s">
        <v>485</v>
      </c>
      <c r="B568" s="9" t="s">
        <v>291</v>
      </c>
      <c r="C568" s="4">
        <v>201001303</v>
      </c>
      <c r="D568" s="4" t="s">
        <v>511</v>
      </c>
      <c r="E568" s="4" t="str">
        <f>"024912010"</f>
        <v>024912010</v>
      </c>
      <c r="F568" s="10">
        <v>40177</v>
      </c>
      <c r="G568" s="11">
        <v>4000000</v>
      </c>
      <c r="H568" s="11">
        <v>4000000</v>
      </c>
      <c r="I568" s="4" t="s">
        <v>72</v>
      </c>
      <c r="J568" s="4" t="s">
        <v>73</v>
      </c>
      <c r="K568" s="11">
        <v>0</v>
      </c>
      <c r="L568" s="4"/>
      <c r="M568" s="4"/>
      <c r="N568" s="11">
        <v>0</v>
      </c>
      <c r="O568" s="4"/>
      <c r="P568" s="4"/>
      <c r="Q568" s="11">
        <v>0</v>
      </c>
      <c r="R568" s="4"/>
      <c r="S568" s="12"/>
    </row>
    <row r="569" spans="1:19" x14ac:dyDescent="0.25">
      <c r="A569" s="9" t="s">
        <v>485</v>
      </c>
      <c r="B569" s="9" t="s">
        <v>291</v>
      </c>
      <c r="C569" s="4">
        <v>201001330</v>
      </c>
      <c r="D569" s="4" t="s">
        <v>512</v>
      </c>
      <c r="E569" s="4" t="str">
        <f>"025592010"</f>
        <v>025592010</v>
      </c>
      <c r="F569" s="10">
        <v>40177</v>
      </c>
      <c r="G569" s="11">
        <v>18000</v>
      </c>
      <c r="H569" s="11">
        <v>18000</v>
      </c>
      <c r="I569" s="4" t="s">
        <v>23</v>
      </c>
      <c r="J569" s="4" t="s">
        <v>24</v>
      </c>
      <c r="K569" s="11">
        <v>0</v>
      </c>
      <c r="L569" s="4"/>
      <c r="M569" s="4"/>
      <c r="N569" s="11">
        <v>0</v>
      </c>
      <c r="O569" s="4"/>
      <c r="P569" s="4"/>
      <c r="Q569" s="11">
        <v>0</v>
      </c>
      <c r="R569" s="4"/>
      <c r="S569" s="12"/>
    </row>
    <row r="570" spans="1:19" x14ac:dyDescent="0.25">
      <c r="A570" s="9" t="s">
        <v>485</v>
      </c>
      <c r="B570" s="9" t="s">
        <v>291</v>
      </c>
      <c r="C570" s="4">
        <v>201001369</v>
      </c>
      <c r="D570" s="4"/>
      <c r="E570" s="4" t="str">
        <f>"026552010"</f>
        <v>026552010</v>
      </c>
      <c r="F570" s="10">
        <v>40185</v>
      </c>
      <c r="G570" s="11">
        <v>250000</v>
      </c>
      <c r="H570" s="11">
        <v>250000</v>
      </c>
      <c r="I570" s="4" t="s">
        <v>366</v>
      </c>
      <c r="J570" s="4" t="s">
        <v>367</v>
      </c>
      <c r="K570" s="11">
        <v>0</v>
      </c>
      <c r="L570" s="4"/>
      <c r="M570" s="4"/>
      <c r="N570" s="11">
        <v>0</v>
      </c>
      <c r="O570" s="4"/>
      <c r="P570" s="4"/>
      <c r="Q570" s="11">
        <v>0</v>
      </c>
      <c r="R570" s="4"/>
      <c r="S570" s="12"/>
    </row>
    <row r="571" spans="1:19" x14ac:dyDescent="0.25">
      <c r="A571" s="9" t="s">
        <v>485</v>
      </c>
      <c r="B571" s="9" t="s">
        <v>291</v>
      </c>
      <c r="C571" s="4">
        <v>201001374</v>
      </c>
      <c r="D571" s="4"/>
      <c r="E571" s="4" t="str">
        <f>"026572010"</f>
        <v>026572010</v>
      </c>
      <c r="F571" s="10">
        <v>40185</v>
      </c>
      <c r="G571" s="11">
        <v>250000</v>
      </c>
      <c r="H571" s="11">
        <v>250000</v>
      </c>
      <c r="I571" s="4" t="s">
        <v>366</v>
      </c>
      <c r="J571" s="4" t="s">
        <v>367</v>
      </c>
      <c r="K571" s="11">
        <v>0</v>
      </c>
      <c r="L571" s="4"/>
      <c r="M571" s="4"/>
      <c r="N571" s="11">
        <v>0</v>
      </c>
      <c r="O571" s="4"/>
      <c r="P571" s="4"/>
      <c r="Q571" s="11">
        <v>0</v>
      </c>
      <c r="R571" s="4"/>
      <c r="S571" s="12"/>
    </row>
    <row r="572" spans="1:19" x14ac:dyDescent="0.25">
      <c r="A572" s="9" t="s">
        <v>485</v>
      </c>
      <c r="B572" s="9" t="s">
        <v>291</v>
      </c>
      <c r="C572" s="4">
        <v>201001506</v>
      </c>
      <c r="D572" s="4"/>
      <c r="E572" s="4" t="str">
        <f>"030272010"</f>
        <v>030272010</v>
      </c>
      <c r="F572" s="10">
        <v>40193</v>
      </c>
      <c r="G572" s="11">
        <v>8000000</v>
      </c>
      <c r="H572" s="11">
        <v>8000000</v>
      </c>
      <c r="I572" s="4" t="s">
        <v>98</v>
      </c>
      <c r="J572" s="4" t="s">
        <v>99</v>
      </c>
      <c r="K572" s="11">
        <v>0</v>
      </c>
      <c r="L572" s="4"/>
      <c r="M572" s="4"/>
      <c r="N572" s="11">
        <v>0</v>
      </c>
      <c r="O572" s="4"/>
      <c r="P572" s="4"/>
      <c r="Q572" s="11">
        <v>0</v>
      </c>
      <c r="R572" s="4"/>
      <c r="S572" s="12"/>
    </row>
    <row r="573" spans="1:19" x14ac:dyDescent="0.25">
      <c r="A573" s="9" t="s">
        <v>485</v>
      </c>
      <c r="B573" s="9" t="s">
        <v>291</v>
      </c>
      <c r="C573" s="4">
        <v>201001509</v>
      </c>
      <c r="D573" s="4"/>
      <c r="E573" s="4" t="str">
        <f>"031482010"</f>
        <v>031482010</v>
      </c>
      <c r="F573" s="10">
        <v>40198</v>
      </c>
      <c r="G573" s="11">
        <v>3000000</v>
      </c>
      <c r="H573" s="11">
        <v>3000000</v>
      </c>
      <c r="I573" s="4" t="s">
        <v>283</v>
      </c>
      <c r="J573" s="4" t="s">
        <v>284</v>
      </c>
      <c r="K573" s="11">
        <v>0</v>
      </c>
      <c r="L573" s="4"/>
      <c r="M573" s="4"/>
      <c r="N573" s="11">
        <v>0</v>
      </c>
      <c r="O573" s="4"/>
      <c r="P573" s="4"/>
      <c r="Q573" s="11">
        <v>0</v>
      </c>
      <c r="R573" s="4"/>
      <c r="S573" s="12"/>
    </row>
    <row r="574" spans="1:19" x14ac:dyDescent="0.25">
      <c r="A574" s="9" t="s">
        <v>485</v>
      </c>
      <c r="B574" s="9" t="s">
        <v>291</v>
      </c>
      <c r="C574" s="4">
        <v>201001598</v>
      </c>
      <c r="D574" s="4" t="s">
        <v>513</v>
      </c>
      <c r="E574" s="4" t="str">
        <f>"033582010"</f>
        <v>033582010</v>
      </c>
      <c r="F574" s="10">
        <v>40204</v>
      </c>
      <c r="G574" s="11">
        <v>75000</v>
      </c>
      <c r="H574" s="11">
        <v>75000</v>
      </c>
      <c r="I574" s="4" t="s">
        <v>68</v>
      </c>
      <c r="J574" s="4" t="s">
        <v>69</v>
      </c>
      <c r="K574" s="11">
        <v>0</v>
      </c>
      <c r="L574" s="4"/>
      <c r="M574" s="4"/>
      <c r="N574" s="11">
        <v>0</v>
      </c>
      <c r="O574" s="4"/>
      <c r="P574" s="4"/>
      <c r="Q574" s="11">
        <v>0</v>
      </c>
      <c r="R574" s="4"/>
      <c r="S574" s="12"/>
    </row>
    <row r="575" spans="1:19" x14ac:dyDescent="0.25">
      <c r="A575" s="9" t="s">
        <v>485</v>
      </c>
      <c r="B575" s="9" t="s">
        <v>291</v>
      </c>
      <c r="C575" s="4">
        <v>201001675</v>
      </c>
      <c r="D575" s="4" t="s">
        <v>514</v>
      </c>
      <c r="E575" s="4" t="str">
        <f>"032602010"</f>
        <v>032602010</v>
      </c>
      <c r="F575" s="10">
        <v>40200</v>
      </c>
      <c r="G575" s="11">
        <v>3800</v>
      </c>
      <c r="H575" s="11">
        <v>3800</v>
      </c>
      <c r="I575" s="4" t="s">
        <v>23</v>
      </c>
      <c r="J575" s="4" t="s">
        <v>24</v>
      </c>
      <c r="K575" s="11">
        <v>0</v>
      </c>
      <c r="L575" s="4"/>
      <c r="M575" s="4"/>
      <c r="N575" s="11">
        <v>0</v>
      </c>
      <c r="O575" s="4"/>
      <c r="P575" s="4"/>
      <c r="Q575" s="11">
        <v>0</v>
      </c>
      <c r="R575" s="4"/>
      <c r="S575" s="12"/>
    </row>
    <row r="576" spans="1:19" x14ac:dyDescent="0.25">
      <c r="A576" s="9" t="s">
        <v>485</v>
      </c>
      <c r="B576" s="9" t="s">
        <v>291</v>
      </c>
      <c r="C576" s="4">
        <v>201001830</v>
      </c>
      <c r="D576" s="4" t="s">
        <v>515</v>
      </c>
      <c r="E576" s="4" t="str">
        <f>"035902010"</f>
        <v>035902010</v>
      </c>
      <c r="F576" s="10">
        <v>40213</v>
      </c>
      <c r="G576" s="11">
        <v>6000</v>
      </c>
      <c r="H576" s="11">
        <v>6000</v>
      </c>
      <c r="I576" s="4" t="s">
        <v>38</v>
      </c>
      <c r="J576" s="4" t="s">
        <v>39</v>
      </c>
      <c r="K576" s="11">
        <v>0</v>
      </c>
      <c r="L576" s="4"/>
      <c r="M576" s="4"/>
      <c r="N576" s="11">
        <v>0</v>
      </c>
      <c r="O576" s="4"/>
      <c r="P576" s="4"/>
      <c r="Q576" s="11">
        <v>0</v>
      </c>
      <c r="R576" s="4"/>
      <c r="S576" s="12"/>
    </row>
    <row r="577" spans="1:19" x14ac:dyDescent="0.25">
      <c r="A577" s="9" t="s">
        <v>485</v>
      </c>
      <c r="B577" s="9" t="s">
        <v>291</v>
      </c>
      <c r="C577" s="4">
        <v>201001859</v>
      </c>
      <c r="D577" s="4" t="s">
        <v>516</v>
      </c>
      <c r="E577" s="4" t="str">
        <f>"037142010"</f>
        <v>037142010</v>
      </c>
      <c r="F577" s="10">
        <v>40214</v>
      </c>
      <c r="G577" s="11">
        <v>30000</v>
      </c>
      <c r="H577" s="11">
        <v>30000</v>
      </c>
      <c r="I577" s="4" t="s">
        <v>30</v>
      </c>
      <c r="J577" s="4" t="s">
        <v>31</v>
      </c>
      <c r="K577" s="11">
        <v>0</v>
      </c>
      <c r="L577" s="4"/>
      <c r="M577" s="4"/>
      <c r="N577" s="11">
        <v>0</v>
      </c>
      <c r="O577" s="4"/>
      <c r="P577" s="4"/>
      <c r="Q577" s="11">
        <v>0</v>
      </c>
      <c r="R577" s="4"/>
      <c r="S577" s="12"/>
    </row>
    <row r="578" spans="1:19" x14ac:dyDescent="0.25">
      <c r="A578" s="9" t="s">
        <v>485</v>
      </c>
      <c r="B578" s="9" t="s">
        <v>291</v>
      </c>
      <c r="C578" s="4">
        <v>201001859</v>
      </c>
      <c r="D578" s="4" t="s">
        <v>516</v>
      </c>
      <c r="E578" s="4" t="str">
        <f>"037162010"</f>
        <v>037162010</v>
      </c>
      <c r="F578" s="10">
        <v>40214</v>
      </c>
      <c r="G578" s="11">
        <v>10000</v>
      </c>
      <c r="H578" s="11">
        <v>10000</v>
      </c>
      <c r="I578" s="4" t="s">
        <v>30</v>
      </c>
      <c r="J578" s="4" t="s">
        <v>31</v>
      </c>
      <c r="K578" s="11">
        <v>0</v>
      </c>
      <c r="L578" s="4"/>
      <c r="M578" s="4"/>
      <c r="N578" s="11">
        <v>0</v>
      </c>
      <c r="O578" s="4"/>
      <c r="P578" s="4"/>
      <c r="Q578" s="11">
        <v>0</v>
      </c>
      <c r="R578" s="4"/>
      <c r="S578" s="12"/>
    </row>
    <row r="579" spans="1:19" x14ac:dyDescent="0.25">
      <c r="A579" s="9" t="s">
        <v>485</v>
      </c>
      <c r="B579" s="9" t="s">
        <v>291</v>
      </c>
      <c r="C579" s="4">
        <v>201001888</v>
      </c>
      <c r="D579" s="4" t="s">
        <v>517</v>
      </c>
      <c r="E579" s="4" t="str">
        <f>"036302010"</f>
        <v>036302010</v>
      </c>
      <c r="F579" s="10">
        <v>40252</v>
      </c>
      <c r="G579" s="11">
        <v>39254.019999999997</v>
      </c>
      <c r="H579" s="11">
        <v>39021.620000000003</v>
      </c>
      <c r="I579" s="4" t="s">
        <v>407</v>
      </c>
      <c r="J579" s="4" t="s">
        <v>408</v>
      </c>
      <c r="K579" s="11">
        <v>0</v>
      </c>
      <c r="L579" s="4"/>
      <c r="M579" s="4"/>
      <c r="N579" s="11">
        <v>0</v>
      </c>
      <c r="O579" s="4"/>
      <c r="P579" s="4"/>
      <c r="Q579" s="11">
        <v>0</v>
      </c>
      <c r="R579" s="4"/>
      <c r="S579" s="12"/>
    </row>
    <row r="580" spans="1:19" x14ac:dyDescent="0.25">
      <c r="A580" s="9" t="s">
        <v>485</v>
      </c>
      <c r="B580" s="9" t="s">
        <v>291</v>
      </c>
      <c r="C580" s="4">
        <v>201001907</v>
      </c>
      <c r="D580" s="4" t="s">
        <v>518</v>
      </c>
      <c r="E580" s="4" t="str">
        <f>"038012010"</f>
        <v>038012010</v>
      </c>
      <c r="F580" s="10">
        <v>40227</v>
      </c>
      <c r="G580" s="11">
        <v>77500</v>
      </c>
      <c r="H580" s="11">
        <v>77500</v>
      </c>
      <c r="I580" s="4" t="s">
        <v>23</v>
      </c>
      <c r="J580" s="4" t="s">
        <v>24</v>
      </c>
      <c r="K580" s="11">
        <v>0</v>
      </c>
      <c r="L580" s="4"/>
      <c r="M580" s="4"/>
      <c r="N580" s="11">
        <v>0</v>
      </c>
      <c r="O580" s="4"/>
      <c r="P580" s="4"/>
      <c r="Q580" s="11">
        <v>0</v>
      </c>
      <c r="R580" s="4"/>
      <c r="S580" s="12"/>
    </row>
    <row r="581" spans="1:19" x14ac:dyDescent="0.25">
      <c r="A581" s="9" t="s">
        <v>485</v>
      </c>
      <c r="B581" s="9" t="s">
        <v>291</v>
      </c>
      <c r="C581" s="4">
        <v>201001924</v>
      </c>
      <c r="D581" s="4" t="s">
        <v>519</v>
      </c>
      <c r="E581" s="4" t="str">
        <f>"037422010"</f>
        <v>037422010</v>
      </c>
      <c r="F581" s="10">
        <v>40214</v>
      </c>
      <c r="G581" s="11">
        <v>60000</v>
      </c>
      <c r="H581" s="11">
        <v>60000</v>
      </c>
      <c r="I581" s="4" t="s">
        <v>38</v>
      </c>
      <c r="J581" s="4" t="s">
        <v>39</v>
      </c>
      <c r="K581" s="11">
        <v>0</v>
      </c>
      <c r="L581" s="4"/>
      <c r="M581" s="4"/>
      <c r="N581" s="11">
        <v>0</v>
      </c>
      <c r="O581" s="4"/>
      <c r="P581" s="4"/>
      <c r="Q581" s="11">
        <v>0</v>
      </c>
      <c r="R581" s="4"/>
      <c r="S581" s="12"/>
    </row>
    <row r="582" spans="1:19" x14ac:dyDescent="0.25">
      <c r="A582" s="9" t="s">
        <v>485</v>
      </c>
      <c r="B582" s="9" t="s">
        <v>291</v>
      </c>
      <c r="C582" s="4">
        <v>201002029</v>
      </c>
      <c r="D582" s="4" t="s">
        <v>520</v>
      </c>
      <c r="E582" s="4" t="str">
        <f>"043032010"</f>
        <v>043032010</v>
      </c>
      <c r="F582" s="10">
        <v>40240</v>
      </c>
      <c r="G582" s="11">
        <v>40000</v>
      </c>
      <c r="H582" s="11">
        <v>40000</v>
      </c>
      <c r="I582" s="4" t="s">
        <v>23</v>
      </c>
      <c r="J582" s="4" t="s">
        <v>24</v>
      </c>
      <c r="K582" s="11">
        <v>0</v>
      </c>
      <c r="L582" s="4"/>
      <c r="M582" s="4"/>
      <c r="N582" s="11">
        <v>0</v>
      </c>
      <c r="O582" s="4"/>
      <c r="P582" s="4"/>
      <c r="Q582" s="11">
        <v>0</v>
      </c>
      <c r="R582" s="4"/>
      <c r="S582" s="12"/>
    </row>
    <row r="583" spans="1:19" x14ac:dyDescent="0.25">
      <c r="A583" s="9" t="s">
        <v>485</v>
      </c>
      <c r="B583" s="9" t="s">
        <v>291</v>
      </c>
      <c r="C583" s="4">
        <v>201002177</v>
      </c>
      <c r="D583" s="4" t="s">
        <v>521</v>
      </c>
      <c r="E583" s="4" t="str">
        <f>"042792010"</f>
        <v>042792010</v>
      </c>
      <c r="F583" s="10">
        <v>40246</v>
      </c>
      <c r="G583" s="11">
        <v>662504.66</v>
      </c>
      <c r="H583" s="11">
        <v>662504.66</v>
      </c>
      <c r="I583" s="4" t="s">
        <v>68</v>
      </c>
      <c r="J583" s="4" t="s">
        <v>69</v>
      </c>
      <c r="K583" s="11">
        <v>0</v>
      </c>
      <c r="L583" s="4"/>
      <c r="M583" s="4"/>
      <c r="N583" s="11">
        <v>0</v>
      </c>
      <c r="O583" s="4"/>
      <c r="P583" s="4"/>
      <c r="Q583" s="11">
        <v>0</v>
      </c>
      <c r="R583" s="4"/>
      <c r="S583" s="12"/>
    </row>
    <row r="584" spans="1:19" x14ac:dyDescent="0.25">
      <c r="A584" s="9" t="s">
        <v>485</v>
      </c>
      <c r="B584" s="9" t="s">
        <v>291</v>
      </c>
      <c r="C584" s="4">
        <v>201002191</v>
      </c>
      <c r="D584" s="4" t="s">
        <v>521</v>
      </c>
      <c r="E584" s="4" t="str">
        <f>"042552010"</f>
        <v>042552010</v>
      </c>
      <c r="F584" s="10">
        <v>40246</v>
      </c>
      <c r="G584" s="11">
        <v>40000</v>
      </c>
      <c r="H584" s="11">
        <v>40000</v>
      </c>
      <c r="I584" s="4" t="s">
        <v>38</v>
      </c>
      <c r="J584" s="4" t="s">
        <v>39</v>
      </c>
      <c r="K584" s="11">
        <v>0</v>
      </c>
      <c r="L584" s="4"/>
      <c r="M584" s="4"/>
      <c r="N584" s="11">
        <v>0</v>
      </c>
      <c r="O584" s="4"/>
      <c r="P584" s="4"/>
      <c r="Q584" s="11">
        <v>0</v>
      </c>
      <c r="R584" s="4"/>
      <c r="S584" s="12"/>
    </row>
    <row r="585" spans="1:19" x14ac:dyDescent="0.25">
      <c r="A585" s="9" t="s">
        <v>485</v>
      </c>
      <c r="B585" s="9" t="s">
        <v>291</v>
      </c>
      <c r="C585" s="4">
        <v>201002202</v>
      </c>
      <c r="D585" s="4" t="s">
        <v>522</v>
      </c>
      <c r="E585" s="4" t="str">
        <f>"043612010"</f>
        <v>043612010</v>
      </c>
      <c r="F585" s="10">
        <v>40241</v>
      </c>
      <c r="G585" s="11">
        <v>350000</v>
      </c>
      <c r="H585" s="11">
        <v>350000</v>
      </c>
      <c r="I585" s="4" t="s">
        <v>72</v>
      </c>
      <c r="J585" s="4" t="s">
        <v>73</v>
      </c>
      <c r="K585" s="11">
        <v>0</v>
      </c>
      <c r="L585" s="4"/>
      <c r="M585" s="4"/>
      <c r="N585" s="11">
        <v>0</v>
      </c>
      <c r="O585" s="4"/>
      <c r="P585" s="4"/>
      <c r="Q585" s="11">
        <v>0</v>
      </c>
      <c r="R585" s="4"/>
      <c r="S585" s="12"/>
    </row>
    <row r="586" spans="1:19" x14ac:dyDescent="0.25">
      <c r="A586" s="9" t="s">
        <v>485</v>
      </c>
      <c r="B586" s="9" t="s">
        <v>291</v>
      </c>
      <c r="C586" s="4">
        <v>201002448</v>
      </c>
      <c r="D586" s="4"/>
      <c r="E586" s="4" t="str">
        <f>"048792010"</f>
        <v>048792010</v>
      </c>
      <c r="F586" s="10">
        <v>40256</v>
      </c>
      <c r="G586" s="11">
        <v>80860.27</v>
      </c>
      <c r="H586" s="11">
        <v>80860.27</v>
      </c>
      <c r="I586" s="4" t="s">
        <v>142</v>
      </c>
      <c r="J586" s="4" t="s">
        <v>143</v>
      </c>
      <c r="K586" s="11">
        <v>0</v>
      </c>
      <c r="L586" s="4"/>
      <c r="M586" s="4"/>
      <c r="N586" s="11">
        <v>0</v>
      </c>
      <c r="O586" s="4"/>
      <c r="P586" s="4"/>
      <c r="Q586" s="11">
        <v>0</v>
      </c>
      <c r="R586" s="4"/>
      <c r="S586" s="12"/>
    </row>
    <row r="587" spans="1:19" x14ac:dyDescent="0.25">
      <c r="A587" s="9" t="s">
        <v>485</v>
      </c>
      <c r="B587" s="9" t="s">
        <v>485</v>
      </c>
      <c r="C587" s="4">
        <v>201002556</v>
      </c>
      <c r="D587" s="4" t="s">
        <v>523</v>
      </c>
      <c r="E587" s="4" t="str">
        <f>"053562010"</f>
        <v>053562010</v>
      </c>
      <c r="F587" s="10">
        <v>40282</v>
      </c>
      <c r="G587" s="11">
        <v>525000</v>
      </c>
      <c r="H587" s="11">
        <v>525000</v>
      </c>
      <c r="I587" s="4" t="s">
        <v>98</v>
      </c>
      <c r="J587" s="4" t="s">
        <v>99</v>
      </c>
      <c r="K587" s="11">
        <v>0</v>
      </c>
      <c r="L587" s="4"/>
      <c r="M587" s="4"/>
      <c r="N587" s="11">
        <v>0</v>
      </c>
      <c r="O587" s="4"/>
      <c r="P587" s="4"/>
      <c r="Q587" s="11">
        <v>0</v>
      </c>
      <c r="R587" s="4"/>
      <c r="S587" s="12"/>
    </row>
    <row r="588" spans="1:19" x14ac:dyDescent="0.25">
      <c r="A588" s="9" t="s">
        <v>485</v>
      </c>
      <c r="B588" s="9" t="s">
        <v>291</v>
      </c>
      <c r="C588" s="4">
        <v>201002654</v>
      </c>
      <c r="D588" s="4" t="s">
        <v>524</v>
      </c>
      <c r="E588" s="4" t="str">
        <f>"052662010"</f>
        <v>052662010</v>
      </c>
      <c r="F588" s="10">
        <v>40266</v>
      </c>
      <c r="G588" s="11">
        <v>5500</v>
      </c>
      <c r="H588" s="11">
        <v>5500</v>
      </c>
      <c r="I588" s="4" t="s">
        <v>23</v>
      </c>
      <c r="J588" s="4" t="s">
        <v>24</v>
      </c>
      <c r="K588" s="11">
        <v>0</v>
      </c>
      <c r="L588" s="4"/>
      <c r="M588" s="4"/>
      <c r="N588" s="11">
        <v>0</v>
      </c>
      <c r="O588" s="4"/>
      <c r="P588" s="4"/>
      <c r="Q588" s="11">
        <v>0</v>
      </c>
      <c r="R588" s="4"/>
      <c r="S588" s="12"/>
    </row>
    <row r="589" spans="1:19" x14ac:dyDescent="0.25">
      <c r="A589" s="9" t="s">
        <v>485</v>
      </c>
      <c r="B589" s="9" t="s">
        <v>291</v>
      </c>
      <c r="C589" s="4">
        <v>201002657</v>
      </c>
      <c r="D589" s="4"/>
      <c r="E589" s="4" t="str">
        <f>"055912010"</f>
        <v>055912010</v>
      </c>
      <c r="F589" s="10">
        <v>40275</v>
      </c>
      <c r="G589" s="11">
        <v>110000</v>
      </c>
      <c r="H589" s="11">
        <v>110000</v>
      </c>
      <c r="I589" s="4" t="s">
        <v>23</v>
      </c>
      <c r="J589" s="4" t="s">
        <v>24</v>
      </c>
      <c r="K589" s="11">
        <v>0</v>
      </c>
      <c r="L589" s="4"/>
      <c r="M589" s="4"/>
      <c r="N589" s="11">
        <v>0</v>
      </c>
      <c r="O589" s="4"/>
      <c r="P589" s="4"/>
      <c r="Q589" s="11">
        <v>0</v>
      </c>
      <c r="R589" s="4"/>
      <c r="S589" s="12"/>
    </row>
    <row r="590" spans="1:19" x14ac:dyDescent="0.25">
      <c r="A590" s="9" t="s">
        <v>485</v>
      </c>
      <c r="B590" s="9" t="s">
        <v>291</v>
      </c>
      <c r="C590" s="4">
        <v>201002687</v>
      </c>
      <c r="D590" s="4"/>
      <c r="E590" s="4" t="str">
        <f>"055892010"</f>
        <v>055892010</v>
      </c>
      <c r="F590" s="10">
        <v>40275</v>
      </c>
      <c r="G590" s="11">
        <v>60000</v>
      </c>
      <c r="H590" s="11">
        <v>60000</v>
      </c>
      <c r="I590" s="4" t="s">
        <v>23</v>
      </c>
      <c r="J590" s="4" t="s">
        <v>24</v>
      </c>
      <c r="K590" s="11">
        <v>0</v>
      </c>
      <c r="L590" s="4"/>
      <c r="M590" s="4"/>
      <c r="N590" s="11">
        <v>0</v>
      </c>
      <c r="O590" s="4"/>
      <c r="P590" s="4"/>
      <c r="Q590" s="11">
        <v>0</v>
      </c>
      <c r="R590" s="4"/>
      <c r="S590" s="12"/>
    </row>
    <row r="591" spans="1:19" x14ac:dyDescent="0.25">
      <c r="A591" s="9" t="s">
        <v>485</v>
      </c>
      <c r="B591" s="9" t="s">
        <v>291</v>
      </c>
      <c r="C591" s="4">
        <v>201002729</v>
      </c>
      <c r="D591" s="4" t="s">
        <v>525</v>
      </c>
      <c r="E591" s="4" t="str">
        <f>"054382010"</f>
        <v>054382010</v>
      </c>
      <c r="F591" s="10">
        <v>40274</v>
      </c>
      <c r="G591" s="11">
        <v>165000</v>
      </c>
      <c r="H591" s="11">
        <v>165000</v>
      </c>
      <c r="I591" s="4" t="s">
        <v>23</v>
      </c>
      <c r="J591" s="4" t="s">
        <v>24</v>
      </c>
      <c r="K591" s="11">
        <v>0</v>
      </c>
      <c r="L591" s="4"/>
      <c r="M591" s="4"/>
      <c r="N591" s="11">
        <v>0</v>
      </c>
      <c r="O591" s="4"/>
      <c r="P591" s="4"/>
      <c r="Q591" s="11">
        <v>0</v>
      </c>
      <c r="R591" s="4"/>
      <c r="S591" s="12"/>
    </row>
    <row r="592" spans="1:19" x14ac:dyDescent="0.25">
      <c r="A592" s="9" t="s">
        <v>485</v>
      </c>
      <c r="B592" s="9" t="s">
        <v>291</v>
      </c>
      <c r="C592" s="4">
        <v>201002773</v>
      </c>
      <c r="D592" s="4" t="s">
        <v>526</v>
      </c>
      <c r="E592" s="4" t="str">
        <f>"055632010"</f>
        <v>055632010</v>
      </c>
      <c r="F592" s="10">
        <v>40275</v>
      </c>
      <c r="G592" s="11">
        <v>84000</v>
      </c>
      <c r="H592" s="11">
        <v>84000</v>
      </c>
      <c r="I592" s="4" t="s">
        <v>123</v>
      </c>
      <c r="J592" s="4" t="s">
        <v>124</v>
      </c>
      <c r="K592" s="11">
        <v>0</v>
      </c>
      <c r="L592" s="4"/>
      <c r="M592" s="4"/>
      <c r="N592" s="11">
        <v>0</v>
      </c>
      <c r="O592" s="4"/>
      <c r="P592" s="4"/>
      <c r="Q592" s="11">
        <v>0</v>
      </c>
      <c r="R592" s="4"/>
      <c r="S592" s="12"/>
    </row>
    <row r="593" spans="1:19" x14ac:dyDescent="0.25">
      <c r="A593" s="9" t="s">
        <v>485</v>
      </c>
      <c r="B593" s="9" t="s">
        <v>291</v>
      </c>
      <c r="C593" s="4">
        <v>201002835</v>
      </c>
      <c r="D593" s="4" t="s">
        <v>527</v>
      </c>
      <c r="E593" s="4" t="str">
        <f>"056272010"</f>
        <v>056272010</v>
      </c>
      <c r="F593" s="10">
        <v>40275</v>
      </c>
      <c r="G593" s="11">
        <v>180000</v>
      </c>
      <c r="H593" s="11">
        <v>180000</v>
      </c>
      <c r="I593" s="4" t="s">
        <v>72</v>
      </c>
      <c r="J593" s="4" t="s">
        <v>73</v>
      </c>
      <c r="K593" s="11">
        <v>0</v>
      </c>
      <c r="L593" s="4"/>
      <c r="M593" s="4"/>
      <c r="N593" s="11">
        <v>0</v>
      </c>
      <c r="O593" s="4"/>
      <c r="P593" s="4"/>
      <c r="Q593" s="11">
        <v>0</v>
      </c>
      <c r="R593" s="4"/>
      <c r="S593" s="12"/>
    </row>
    <row r="594" spans="1:19" x14ac:dyDescent="0.25">
      <c r="A594" s="9" t="s">
        <v>485</v>
      </c>
      <c r="B594" s="9" t="s">
        <v>291</v>
      </c>
      <c r="C594" s="4">
        <v>201003127</v>
      </c>
      <c r="D594" s="4" t="s">
        <v>528</v>
      </c>
      <c r="E594" s="4" t="str">
        <f>"066522010"</f>
        <v>066522010</v>
      </c>
      <c r="F594" s="10">
        <v>40308</v>
      </c>
      <c r="G594" s="11">
        <v>2080975</v>
      </c>
      <c r="H594" s="11">
        <v>2080975</v>
      </c>
      <c r="I594" s="4" t="s">
        <v>72</v>
      </c>
      <c r="J594" s="4" t="s">
        <v>73</v>
      </c>
      <c r="K594" s="11">
        <v>0</v>
      </c>
      <c r="L594" s="4"/>
      <c r="M594" s="4"/>
      <c r="N594" s="11">
        <v>0</v>
      </c>
      <c r="O594" s="4"/>
      <c r="P594" s="4"/>
      <c r="Q594" s="11">
        <v>0</v>
      </c>
      <c r="R594" s="4"/>
      <c r="S594" s="12"/>
    </row>
    <row r="595" spans="1:19" x14ac:dyDescent="0.25">
      <c r="A595" s="9" t="s">
        <v>485</v>
      </c>
      <c r="B595" s="9" t="s">
        <v>291</v>
      </c>
      <c r="C595" s="4">
        <v>201003168</v>
      </c>
      <c r="D595" s="4" t="s">
        <v>529</v>
      </c>
      <c r="E595" s="4" t="str">
        <f>"066202010"</f>
        <v>066202010</v>
      </c>
      <c r="F595" s="10">
        <v>40305</v>
      </c>
      <c r="G595" s="11">
        <v>25000</v>
      </c>
      <c r="H595" s="11">
        <v>25000</v>
      </c>
      <c r="I595" s="4" t="s">
        <v>472</v>
      </c>
      <c r="J595" s="4" t="s">
        <v>473</v>
      </c>
      <c r="K595" s="11">
        <v>0</v>
      </c>
      <c r="L595" s="4"/>
      <c r="M595" s="4"/>
      <c r="N595" s="11">
        <v>0</v>
      </c>
      <c r="O595" s="4"/>
      <c r="P595" s="4"/>
      <c r="Q595" s="11">
        <v>0</v>
      </c>
      <c r="R595" s="4"/>
      <c r="S595" s="12"/>
    </row>
    <row r="596" spans="1:19" x14ac:dyDescent="0.25">
      <c r="A596" s="9" t="s">
        <v>485</v>
      </c>
      <c r="B596" s="9" t="s">
        <v>291</v>
      </c>
      <c r="C596" s="4">
        <v>201003284</v>
      </c>
      <c r="D596" s="4" t="s">
        <v>530</v>
      </c>
      <c r="E596" s="4" t="str">
        <f>"065882010"</f>
        <v>065882010</v>
      </c>
      <c r="F596" s="10">
        <v>40305</v>
      </c>
      <c r="G596" s="11">
        <v>25000</v>
      </c>
      <c r="H596" s="11">
        <v>25000</v>
      </c>
      <c r="I596" s="4" t="s">
        <v>472</v>
      </c>
      <c r="J596" s="4" t="s">
        <v>473</v>
      </c>
      <c r="K596" s="11">
        <v>0</v>
      </c>
      <c r="L596" s="4"/>
      <c r="M596" s="4"/>
      <c r="N596" s="11">
        <v>0</v>
      </c>
      <c r="O596" s="4"/>
      <c r="P596" s="4"/>
      <c r="Q596" s="11">
        <v>0</v>
      </c>
      <c r="R596" s="4"/>
      <c r="S596" s="12"/>
    </row>
    <row r="597" spans="1:19" x14ac:dyDescent="0.25">
      <c r="A597" s="9" t="s">
        <v>485</v>
      </c>
      <c r="B597" s="9" t="s">
        <v>291</v>
      </c>
      <c r="C597" s="4">
        <v>201003349</v>
      </c>
      <c r="D597" s="4" t="s">
        <v>531</v>
      </c>
      <c r="E597" s="4" t="str">
        <f>"066782010"</f>
        <v>066782010</v>
      </c>
      <c r="F597" s="10">
        <v>40316</v>
      </c>
      <c r="G597" s="11">
        <v>18448.5</v>
      </c>
      <c r="H597" s="11">
        <v>21537</v>
      </c>
      <c r="I597" s="4" t="s">
        <v>407</v>
      </c>
      <c r="J597" s="4" t="s">
        <v>408</v>
      </c>
      <c r="K597" s="11">
        <v>0</v>
      </c>
      <c r="L597" s="4"/>
      <c r="M597" s="4"/>
      <c r="N597" s="11">
        <v>0</v>
      </c>
      <c r="O597" s="4"/>
      <c r="P597" s="4"/>
      <c r="Q597" s="11">
        <v>0</v>
      </c>
      <c r="R597" s="4"/>
      <c r="S597" s="12"/>
    </row>
    <row r="598" spans="1:19" x14ac:dyDescent="0.25">
      <c r="A598" s="9" t="s">
        <v>485</v>
      </c>
      <c r="B598" s="9" t="s">
        <v>291</v>
      </c>
      <c r="C598" s="4">
        <v>201003393</v>
      </c>
      <c r="D598" s="4" t="s">
        <v>532</v>
      </c>
      <c r="E598" s="4" t="str">
        <f>"067142010"</f>
        <v>067142010</v>
      </c>
      <c r="F598" s="10">
        <v>40311</v>
      </c>
      <c r="G598" s="11">
        <v>5000</v>
      </c>
      <c r="H598" s="11">
        <v>5000</v>
      </c>
      <c r="I598" s="4" t="s">
        <v>23</v>
      </c>
      <c r="J598" s="4" t="s">
        <v>24</v>
      </c>
      <c r="K598" s="11">
        <v>0</v>
      </c>
      <c r="L598" s="4"/>
      <c r="M598" s="4"/>
      <c r="N598" s="11">
        <v>0</v>
      </c>
      <c r="O598" s="4"/>
      <c r="P598" s="4"/>
      <c r="Q598" s="11">
        <v>0</v>
      </c>
      <c r="R598" s="4"/>
      <c r="S598" s="12"/>
    </row>
    <row r="599" spans="1:19" x14ac:dyDescent="0.25">
      <c r="A599" s="9" t="s">
        <v>485</v>
      </c>
      <c r="B599" s="9" t="s">
        <v>291</v>
      </c>
      <c r="C599" s="4">
        <v>201003396</v>
      </c>
      <c r="D599" s="4"/>
      <c r="E599" s="4" t="str">
        <f>"072132010"</f>
        <v>072132010</v>
      </c>
      <c r="F599" s="10">
        <v>40322</v>
      </c>
      <c r="G599" s="11">
        <v>858861.71</v>
      </c>
      <c r="H599" s="11">
        <v>858861.71</v>
      </c>
      <c r="I599" s="4" t="s">
        <v>142</v>
      </c>
      <c r="J599" s="4" t="s">
        <v>143</v>
      </c>
      <c r="K599" s="11">
        <v>0</v>
      </c>
      <c r="L599" s="4"/>
      <c r="M599" s="4"/>
      <c r="N599" s="11">
        <v>0</v>
      </c>
      <c r="O599" s="4"/>
      <c r="P599" s="4"/>
      <c r="Q599" s="11">
        <v>0</v>
      </c>
      <c r="R599" s="4"/>
      <c r="S599" s="12"/>
    </row>
    <row r="600" spans="1:19" x14ac:dyDescent="0.25">
      <c r="A600" s="9" t="s">
        <v>485</v>
      </c>
      <c r="B600" s="9" t="s">
        <v>291</v>
      </c>
      <c r="C600" s="4">
        <v>201003401</v>
      </c>
      <c r="D600" s="4" t="s">
        <v>533</v>
      </c>
      <c r="E600" s="4" t="str">
        <f>"069282010"</f>
        <v>069282010</v>
      </c>
      <c r="F600" s="10">
        <v>40316</v>
      </c>
      <c r="G600" s="11">
        <v>125000</v>
      </c>
      <c r="H600" s="11">
        <v>125000</v>
      </c>
      <c r="I600" s="4" t="s">
        <v>23</v>
      </c>
      <c r="J600" s="4" t="s">
        <v>24</v>
      </c>
      <c r="K600" s="11">
        <v>0</v>
      </c>
      <c r="L600" s="4"/>
      <c r="M600" s="4"/>
      <c r="N600" s="11">
        <v>0</v>
      </c>
      <c r="O600" s="4"/>
      <c r="P600" s="4"/>
      <c r="Q600" s="11">
        <v>0</v>
      </c>
      <c r="R600" s="4"/>
      <c r="S600" s="12"/>
    </row>
    <row r="601" spans="1:19" x14ac:dyDescent="0.25">
      <c r="A601" s="9" t="s">
        <v>485</v>
      </c>
      <c r="B601" s="9" t="s">
        <v>291</v>
      </c>
      <c r="C601" s="4">
        <v>201003434</v>
      </c>
      <c r="D601" s="4" t="s">
        <v>534</v>
      </c>
      <c r="E601" s="4" t="str">
        <f>"068462010"</f>
        <v>068462010</v>
      </c>
      <c r="F601" s="10">
        <v>40311</v>
      </c>
      <c r="G601" s="11">
        <v>0</v>
      </c>
      <c r="H601" s="11">
        <v>42356.25</v>
      </c>
      <c r="I601" s="4" t="s">
        <v>68</v>
      </c>
      <c r="J601" s="4" t="s">
        <v>69</v>
      </c>
      <c r="K601" s="11">
        <v>0</v>
      </c>
      <c r="L601" s="4"/>
      <c r="M601" s="4"/>
      <c r="N601" s="11">
        <v>0</v>
      </c>
      <c r="O601" s="4"/>
      <c r="P601" s="4"/>
      <c r="Q601" s="11">
        <v>0</v>
      </c>
      <c r="R601" s="4"/>
      <c r="S601" s="12"/>
    </row>
    <row r="602" spans="1:19" x14ac:dyDescent="0.25">
      <c r="A602" s="9" t="s">
        <v>485</v>
      </c>
      <c r="B602" s="9" t="s">
        <v>291</v>
      </c>
      <c r="C602" s="4">
        <v>201003455</v>
      </c>
      <c r="D602" s="4" t="s">
        <v>535</v>
      </c>
      <c r="E602" s="4" t="str">
        <f>"068502010"</f>
        <v>068502010</v>
      </c>
      <c r="F602" s="10">
        <v>40311</v>
      </c>
      <c r="G602" s="11">
        <v>795350</v>
      </c>
      <c r="H602" s="11">
        <v>795350</v>
      </c>
      <c r="I602" s="4" t="s">
        <v>72</v>
      </c>
      <c r="J602" s="4" t="s">
        <v>73</v>
      </c>
      <c r="K602" s="11">
        <v>0</v>
      </c>
      <c r="L602" s="4"/>
      <c r="M602" s="4"/>
      <c r="N602" s="11">
        <v>0</v>
      </c>
      <c r="O602" s="4"/>
      <c r="P602" s="4"/>
      <c r="Q602" s="11">
        <v>0</v>
      </c>
      <c r="R602" s="4"/>
      <c r="S602" s="12"/>
    </row>
    <row r="603" spans="1:19" x14ac:dyDescent="0.25">
      <c r="A603" s="9" t="s">
        <v>485</v>
      </c>
      <c r="B603" s="9" t="s">
        <v>291</v>
      </c>
      <c r="C603" s="4">
        <v>201003473</v>
      </c>
      <c r="D603" s="4" t="s">
        <v>536</v>
      </c>
      <c r="E603" s="4" t="str">
        <f>"072912010"</f>
        <v>072912010</v>
      </c>
      <c r="F603" s="10">
        <v>40323</v>
      </c>
      <c r="G603" s="11">
        <v>25000</v>
      </c>
      <c r="H603" s="11">
        <v>25000</v>
      </c>
      <c r="I603" s="4" t="s">
        <v>68</v>
      </c>
      <c r="J603" s="4" t="s">
        <v>69</v>
      </c>
      <c r="K603" s="11">
        <v>0</v>
      </c>
      <c r="L603" s="4"/>
      <c r="M603" s="4"/>
      <c r="N603" s="11">
        <v>0</v>
      </c>
      <c r="O603" s="4"/>
      <c r="P603" s="4"/>
      <c r="Q603" s="11">
        <v>0</v>
      </c>
      <c r="R603" s="4"/>
      <c r="S603" s="12"/>
    </row>
    <row r="604" spans="1:19" x14ac:dyDescent="0.25">
      <c r="A604" s="9" t="s">
        <v>485</v>
      </c>
      <c r="B604" s="9" t="s">
        <v>291</v>
      </c>
      <c r="C604" s="4">
        <v>201003611</v>
      </c>
      <c r="D604" s="4" t="s">
        <v>537</v>
      </c>
      <c r="E604" s="4" t="str">
        <f>"072632010"</f>
        <v>072632010</v>
      </c>
      <c r="F604" s="10">
        <v>40323</v>
      </c>
      <c r="G604" s="11">
        <v>250000</v>
      </c>
      <c r="H604" s="11">
        <v>250000</v>
      </c>
      <c r="I604" s="4" t="s">
        <v>72</v>
      </c>
      <c r="J604" s="4" t="s">
        <v>73</v>
      </c>
      <c r="K604" s="11">
        <v>0</v>
      </c>
      <c r="L604" s="4"/>
      <c r="M604" s="4"/>
      <c r="N604" s="11">
        <v>0</v>
      </c>
      <c r="O604" s="4"/>
      <c r="P604" s="4"/>
      <c r="Q604" s="11">
        <v>0</v>
      </c>
      <c r="R604" s="4"/>
      <c r="S604" s="12"/>
    </row>
    <row r="605" spans="1:19" x14ac:dyDescent="0.25">
      <c r="A605" s="9" t="s">
        <v>485</v>
      </c>
      <c r="B605" s="9" t="s">
        <v>291</v>
      </c>
      <c r="C605" s="4">
        <v>201003618</v>
      </c>
      <c r="D605" s="4" t="s">
        <v>538</v>
      </c>
      <c r="E605" s="4" t="str">
        <f>"071492010"</f>
        <v>071492010</v>
      </c>
      <c r="F605" s="10">
        <v>40324</v>
      </c>
      <c r="G605" s="11">
        <v>300000</v>
      </c>
      <c r="H605" s="11">
        <v>300000</v>
      </c>
      <c r="I605" s="4" t="s">
        <v>23</v>
      </c>
      <c r="J605" s="4" t="s">
        <v>24</v>
      </c>
      <c r="K605" s="11">
        <v>0</v>
      </c>
      <c r="L605" s="4"/>
      <c r="M605" s="4"/>
      <c r="N605" s="11">
        <v>0</v>
      </c>
      <c r="O605" s="4"/>
      <c r="P605" s="4"/>
      <c r="Q605" s="11">
        <v>0</v>
      </c>
      <c r="R605" s="4"/>
      <c r="S605" s="12"/>
    </row>
    <row r="606" spans="1:19" x14ac:dyDescent="0.25">
      <c r="A606" s="9" t="s">
        <v>485</v>
      </c>
      <c r="B606" s="9" t="s">
        <v>291</v>
      </c>
      <c r="C606" s="4">
        <v>201003683</v>
      </c>
      <c r="D606" s="4" t="s">
        <v>539</v>
      </c>
      <c r="E606" s="4" t="str">
        <f>"073252010"</f>
        <v>073252010</v>
      </c>
      <c r="F606" s="10">
        <v>40324</v>
      </c>
      <c r="G606" s="11">
        <v>10000</v>
      </c>
      <c r="H606" s="11">
        <v>10000</v>
      </c>
      <c r="I606" s="4" t="s">
        <v>38</v>
      </c>
      <c r="J606" s="4" t="s">
        <v>39</v>
      </c>
      <c r="K606" s="11">
        <v>0</v>
      </c>
      <c r="L606" s="4"/>
      <c r="M606" s="4"/>
      <c r="N606" s="11">
        <v>0</v>
      </c>
      <c r="O606" s="4"/>
      <c r="P606" s="4"/>
      <c r="Q606" s="11">
        <v>0</v>
      </c>
      <c r="R606" s="4"/>
      <c r="S606" s="12"/>
    </row>
    <row r="607" spans="1:19" x14ac:dyDescent="0.25">
      <c r="A607" s="9" t="s">
        <v>485</v>
      </c>
      <c r="B607" s="9" t="s">
        <v>291</v>
      </c>
      <c r="C607" s="4">
        <v>201003703</v>
      </c>
      <c r="D607" s="4" t="s">
        <v>540</v>
      </c>
      <c r="E607" s="4" t="str">
        <f>"076842010"</f>
        <v>076842010</v>
      </c>
      <c r="F607" s="10">
        <v>40338</v>
      </c>
      <c r="G607" s="11">
        <v>120000</v>
      </c>
      <c r="H607" s="11">
        <v>120000</v>
      </c>
      <c r="I607" s="4" t="s">
        <v>23</v>
      </c>
      <c r="J607" s="4" t="s">
        <v>24</v>
      </c>
      <c r="K607" s="11">
        <v>0</v>
      </c>
      <c r="L607" s="4"/>
      <c r="M607" s="4"/>
      <c r="N607" s="11">
        <v>0</v>
      </c>
      <c r="O607" s="4"/>
      <c r="P607" s="4"/>
      <c r="Q607" s="11">
        <v>0</v>
      </c>
      <c r="R607" s="4"/>
      <c r="S607" s="12"/>
    </row>
    <row r="608" spans="1:19" x14ac:dyDescent="0.25">
      <c r="A608" s="9" t="s">
        <v>485</v>
      </c>
      <c r="B608" s="9" t="s">
        <v>291</v>
      </c>
      <c r="C608" s="4">
        <v>201003705</v>
      </c>
      <c r="D608" s="4" t="s">
        <v>541</v>
      </c>
      <c r="E608" s="4" t="str">
        <f>"085502010"</f>
        <v>085502010</v>
      </c>
      <c r="F608" s="10">
        <v>40353</v>
      </c>
      <c r="G608" s="11">
        <v>152000</v>
      </c>
      <c r="H608" s="11">
        <v>152000</v>
      </c>
      <c r="I608" s="4" t="s">
        <v>23</v>
      </c>
      <c r="J608" s="4" t="s">
        <v>24</v>
      </c>
      <c r="K608" s="11">
        <v>0</v>
      </c>
      <c r="L608" s="4"/>
      <c r="M608" s="4"/>
      <c r="N608" s="11">
        <v>0</v>
      </c>
      <c r="O608" s="4"/>
      <c r="P608" s="4"/>
      <c r="Q608" s="11">
        <v>0</v>
      </c>
      <c r="R608" s="4"/>
      <c r="S608" s="12"/>
    </row>
    <row r="609" spans="1:19" x14ac:dyDescent="0.25">
      <c r="A609" s="9" t="s">
        <v>485</v>
      </c>
      <c r="B609" s="9" t="s">
        <v>291</v>
      </c>
      <c r="C609" s="4">
        <v>201003954</v>
      </c>
      <c r="D609" s="4" t="s">
        <v>542</v>
      </c>
      <c r="E609" s="4" t="str">
        <f>"085042010"</f>
        <v>085042010</v>
      </c>
      <c r="F609" s="10">
        <v>40358</v>
      </c>
      <c r="G609" s="11">
        <v>225000</v>
      </c>
      <c r="H609" s="11">
        <v>225000</v>
      </c>
      <c r="I609" s="4" t="s">
        <v>23</v>
      </c>
      <c r="J609" s="4" t="s">
        <v>24</v>
      </c>
      <c r="K609" s="11">
        <v>0</v>
      </c>
      <c r="L609" s="4"/>
      <c r="M609" s="4"/>
      <c r="N609" s="11">
        <v>0</v>
      </c>
      <c r="O609" s="4"/>
      <c r="P609" s="4"/>
      <c r="Q609" s="11">
        <v>0</v>
      </c>
      <c r="R609" s="4"/>
      <c r="S609" s="12"/>
    </row>
    <row r="610" spans="1:19" x14ac:dyDescent="0.25">
      <c r="A610" s="9" t="s">
        <v>485</v>
      </c>
      <c r="B610" s="9" t="s">
        <v>291</v>
      </c>
      <c r="C610" s="4">
        <v>201003956</v>
      </c>
      <c r="D610" s="4" t="s">
        <v>543</v>
      </c>
      <c r="E610" s="4" t="str">
        <f>"078752010"</f>
        <v>078752010</v>
      </c>
      <c r="F610" s="10">
        <v>40340</v>
      </c>
      <c r="G610" s="11">
        <v>215000</v>
      </c>
      <c r="H610" s="11">
        <v>215000</v>
      </c>
      <c r="I610" s="4" t="s">
        <v>23</v>
      </c>
      <c r="J610" s="4" t="s">
        <v>24</v>
      </c>
      <c r="K610" s="11">
        <v>0</v>
      </c>
      <c r="L610" s="4"/>
      <c r="M610" s="4"/>
      <c r="N610" s="11">
        <v>0</v>
      </c>
      <c r="O610" s="4"/>
      <c r="P610" s="4"/>
      <c r="Q610" s="11">
        <v>0</v>
      </c>
      <c r="R610" s="4"/>
      <c r="S610" s="12"/>
    </row>
    <row r="611" spans="1:19" x14ac:dyDescent="0.25">
      <c r="A611" s="9" t="s">
        <v>485</v>
      </c>
      <c r="B611" s="9" t="s">
        <v>291</v>
      </c>
      <c r="C611" s="4">
        <v>201004353</v>
      </c>
      <c r="D611" s="4"/>
      <c r="E611" s="4" t="str">
        <f>"088522010"</f>
        <v>088522010</v>
      </c>
      <c r="F611" s="10">
        <v>40367</v>
      </c>
      <c r="G611" s="11">
        <v>55000</v>
      </c>
      <c r="H611" s="11">
        <v>55000</v>
      </c>
      <c r="I611" s="4" t="s">
        <v>23</v>
      </c>
      <c r="J611" s="4" t="s">
        <v>24</v>
      </c>
      <c r="K611" s="11">
        <v>0</v>
      </c>
      <c r="L611" s="4"/>
      <c r="M611" s="4"/>
      <c r="N611" s="11">
        <v>0</v>
      </c>
      <c r="O611" s="4"/>
      <c r="P611" s="4"/>
      <c r="Q611" s="11">
        <v>0</v>
      </c>
      <c r="R611" s="4"/>
      <c r="S611" s="12"/>
    </row>
    <row r="612" spans="1:19" x14ac:dyDescent="0.25">
      <c r="A612" s="9" t="s">
        <v>485</v>
      </c>
      <c r="B612" s="9" t="s">
        <v>291</v>
      </c>
      <c r="C612" s="4">
        <v>201004727</v>
      </c>
      <c r="D612" s="4" t="s">
        <v>531</v>
      </c>
      <c r="E612" s="4" t="str">
        <f>"094722010"</f>
        <v>094722010</v>
      </c>
      <c r="F612" s="10">
        <v>40385</v>
      </c>
      <c r="G612" s="11">
        <v>6451</v>
      </c>
      <c r="H612" s="11">
        <v>6800</v>
      </c>
      <c r="I612" s="4" t="s">
        <v>407</v>
      </c>
      <c r="J612" s="4" t="s">
        <v>408</v>
      </c>
      <c r="K612" s="11">
        <v>0</v>
      </c>
      <c r="L612" s="4"/>
      <c r="M612" s="4"/>
      <c r="N612" s="11">
        <v>0</v>
      </c>
      <c r="O612" s="4"/>
      <c r="P612" s="4"/>
      <c r="Q612" s="11">
        <v>0</v>
      </c>
      <c r="R612" s="4"/>
      <c r="S612" s="12"/>
    </row>
    <row r="613" spans="1:19" x14ac:dyDescent="0.25">
      <c r="A613" s="9" t="s">
        <v>485</v>
      </c>
      <c r="B613" s="9" t="s">
        <v>291</v>
      </c>
      <c r="C613" s="4">
        <v>201004740</v>
      </c>
      <c r="D613" s="4" t="s">
        <v>544</v>
      </c>
      <c r="E613" s="4" t="str">
        <f>"095302010"</f>
        <v>095302010</v>
      </c>
      <c r="F613" s="10">
        <v>40387</v>
      </c>
      <c r="G613" s="11">
        <v>475000</v>
      </c>
      <c r="H613" s="11">
        <v>475000</v>
      </c>
      <c r="I613" s="4" t="s">
        <v>68</v>
      </c>
      <c r="J613" s="4" t="s">
        <v>69</v>
      </c>
      <c r="K613" s="11">
        <v>0</v>
      </c>
      <c r="L613" s="4"/>
      <c r="M613" s="4"/>
      <c r="N613" s="11">
        <v>0</v>
      </c>
      <c r="O613" s="4"/>
      <c r="P613" s="4"/>
      <c r="Q613" s="11">
        <v>0</v>
      </c>
      <c r="R613" s="4"/>
      <c r="S613" s="12"/>
    </row>
    <row r="614" spans="1:19" x14ac:dyDescent="0.25">
      <c r="A614" s="9" t="s">
        <v>485</v>
      </c>
      <c r="B614" s="9" t="s">
        <v>291</v>
      </c>
      <c r="C614" s="4">
        <v>201004789</v>
      </c>
      <c r="D614" s="4" t="s">
        <v>545</v>
      </c>
      <c r="E614" s="4" t="str">
        <f>"096172010"</f>
        <v>096172010</v>
      </c>
      <c r="F614" s="10">
        <v>40392</v>
      </c>
      <c r="G614" s="11">
        <v>5238.3999999999996</v>
      </c>
      <c r="H614" s="11">
        <v>5000</v>
      </c>
      <c r="I614" s="4" t="s">
        <v>407</v>
      </c>
      <c r="J614" s="4" t="s">
        <v>408</v>
      </c>
      <c r="K614" s="11">
        <v>0</v>
      </c>
      <c r="L614" s="4"/>
      <c r="M614" s="4"/>
      <c r="N614" s="11">
        <v>0</v>
      </c>
      <c r="O614" s="4"/>
      <c r="P614" s="4"/>
      <c r="Q614" s="11">
        <v>0</v>
      </c>
      <c r="R614" s="4"/>
      <c r="S614" s="12"/>
    </row>
    <row r="615" spans="1:19" x14ac:dyDescent="0.25">
      <c r="A615" s="9" t="s">
        <v>485</v>
      </c>
      <c r="B615" s="9" t="s">
        <v>291</v>
      </c>
      <c r="C615" s="4">
        <v>201004944</v>
      </c>
      <c r="D615" s="4"/>
      <c r="E615" s="4" t="str">
        <f>"098422010"</f>
        <v>098422010</v>
      </c>
      <c r="F615" s="10">
        <v>40394</v>
      </c>
      <c r="G615" s="11">
        <v>45000</v>
      </c>
      <c r="H615" s="11">
        <v>45000</v>
      </c>
      <c r="I615" s="4" t="s">
        <v>23</v>
      </c>
      <c r="J615" s="4" t="s">
        <v>24</v>
      </c>
      <c r="K615" s="11">
        <v>0</v>
      </c>
      <c r="L615" s="4"/>
      <c r="M615" s="4"/>
      <c r="N615" s="11">
        <v>0</v>
      </c>
      <c r="O615" s="4"/>
      <c r="P615" s="4"/>
      <c r="Q615" s="11">
        <v>0</v>
      </c>
      <c r="R615" s="4"/>
      <c r="S615" s="12"/>
    </row>
    <row r="616" spans="1:19" x14ac:dyDescent="0.25">
      <c r="A616" s="9" t="s">
        <v>485</v>
      </c>
      <c r="B616" s="9" t="s">
        <v>291</v>
      </c>
      <c r="C616" s="4">
        <v>201004976</v>
      </c>
      <c r="D616" s="4" t="s">
        <v>451</v>
      </c>
      <c r="E616" s="4" t="str">
        <f>"099612010"</f>
        <v>099612010</v>
      </c>
      <c r="F616" s="10">
        <v>40401</v>
      </c>
      <c r="G616" s="11">
        <v>62000</v>
      </c>
      <c r="H616" s="11">
        <v>62000</v>
      </c>
      <c r="I616" s="4" t="s">
        <v>72</v>
      </c>
      <c r="J616" s="4" t="s">
        <v>73</v>
      </c>
      <c r="K616" s="11">
        <v>0</v>
      </c>
      <c r="L616" s="4"/>
      <c r="M616" s="4"/>
      <c r="N616" s="11">
        <v>0</v>
      </c>
      <c r="O616" s="4"/>
      <c r="P616" s="4"/>
      <c r="Q616" s="11">
        <v>0</v>
      </c>
      <c r="R616" s="4"/>
      <c r="S616" s="12"/>
    </row>
    <row r="617" spans="1:19" x14ac:dyDescent="0.25">
      <c r="A617" s="9" t="s">
        <v>485</v>
      </c>
      <c r="B617" s="9" t="s">
        <v>291</v>
      </c>
      <c r="C617" s="4">
        <v>201005027</v>
      </c>
      <c r="D617" s="4" t="s">
        <v>546</v>
      </c>
      <c r="E617" s="4" t="str">
        <f>"103032010"</f>
        <v>103032010</v>
      </c>
      <c r="F617" s="10">
        <v>40409</v>
      </c>
      <c r="G617" s="11">
        <v>650000</v>
      </c>
      <c r="H617" s="11">
        <v>650000</v>
      </c>
      <c r="I617" s="4" t="s">
        <v>23</v>
      </c>
      <c r="J617" s="4" t="s">
        <v>24</v>
      </c>
      <c r="K617" s="11">
        <v>0</v>
      </c>
      <c r="L617" s="4"/>
      <c r="M617" s="4"/>
      <c r="N617" s="11">
        <v>0</v>
      </c>
      <c r="O617" s="4"/>
      <c r="P617" s="4"/>
      <c r="Q617" s="11">
        <v>0</v>
      </c>
      <c r="R617" s="4"/>
      <c r="S617" s="12"/>
    </row>
    <row r="618" spans="1:19" x14ac:dyDescent="0.25">
      <c r="A618" s="9" t="s">
        <v>485</v>
      </c>
      <c r="B618" s="9" t="s">
        <v>291</v>
      </c>
      <c r="C618" s="4">
        <v>201005042</v>
      </c>
      <c r="D618" s="4" t="s">
        <v>547</v>
      </c>
      <c r="E618" s="4" t="str">
        <f>"102612010"</f>
        <v>102612010</v>
      </c>
      <c r="F618" s="10">
        <v>40408</v>
      </c>
      <c r="G618" s="11">
        <v>250000</v>
      </c>
      <c r="H618" s="11">
        <v>250000</v>
      </c>
      <c r="I618" s="4" t="s">
        <v>68</v>
      </c>
      <c r="J618" s="4" t="s">
        <v>69</v>
      </c>
      <c r="K618" s="11">
        <v>0</v>
      </c>
      <c r="L618" s="4"/>
      <c r="M618" s="4"/>
      <c r="N618" s="11">
        <v>0</v>
      </c>
      <c r="O618" s="4"/>
      <c r="P618" s="4"/>
      <c r="Q618" s="11">
        <v>0</v>
      </c>
      <c r="R618" s="4"/>
      <c r="S618" s="12"/>
    </row>
    <row r="619" spans="1:19" x14ac:dyDescent="0.25">
      <c r="A619" s="9" t="s">
        <v>485</v>
      </c>
      <c r="B619" s="9" t="s">
        <v>291</v>
      </c>
      <c r="C619" s="4">
        <v>201005133</v>
      </c>
      <c r="D619" s="4" t="s">
        <v>548</v>
      </c>
      <c r="E619" s="4" t="str">
        <f>"100972010"</f>
        <v>100972010</v>
      </c>
      <c r="F619" s="10">
        <v>40435</v>
      </c>
      <c r="G619" s="11">
        <v>12710</v>
      </c>
      <c r="H619" s="11">
        <v>12573</v>
      </c>
      <c r="I619" s="4" t="s">
        <v>407</v>
      </c>
      <c r="J619" s="4" t="s">
        <v>408</v>
      </c>
      <c r="K619" s="11">
        <v>0</v>
      </c>
      <c r="L619" s="4"/>
      <c r="M619" s="4"/>
      <c r="N619" s="11">
        <v>0</v>
      </c>
      <c r="O619" s="4"/>
      <c r="P619" s="4"/>
      <c r="Q619" s="11">
        <v>0</v>
      </c>
      <c r="R619" s="4"/>
      <c r="S619" s="12"/>
    </row>
    <row r="620" spans="1:19" x14ac:dyDescent="0.25">
      <c r="A620" s="9" t="s">
        <v>485</v>
      </c>
      <c r="B620" s="9" t="s">
        <v>291</v>
      </c>
      <c r="C620" s="4">
        <v>201005180</v>
      </c>
      <c r="D620" s="4" t="s">
        <v>549</v>
      </c>
      <c r="E620" s="4" t="str">
        <f>"104012010"</f>
        <v>104012010</v>
      </c>
      <c r="F620" s="10">
        <v>40410</v>
      </c>
      <c r="G620" s="11">
        <v>11000000</v>
      </c>
      <c r="H620" s="11">
        <v>11000000</v>
      </c>
      <c r="I620" s="4" t="s">
        <v>72</v>
      </c>
      <c r="J620" s="4" t="s">
        <v>73</v>
      </c>
      <c r="K620" s="11">
        <v>0</v>
      </c>
      <c r="L620" s="4"/>
      <c r="M620" s="4"/>
      <c r="N620" s="11">
        <v>0</v>
      </c>
      <c r="O620" s="4"/>
      <c r="P620" s="4"/>
      <c r="Q620" s="11">
        <v>0</v>
      </c>
      <c r="R620" s="4"/>
      <c r="S620" s="12"/>
    </row>
    <row r="621" spans="1:19" x14ac:dyDescent="0.25">
      <c r="A621" s="9" t="s">
        <v>485</v>
      </c>
      <c r="B621" s="9" t="s">
        <v>291</v>
      </c>
      <c r="C621" s="4">
        <v>201005227</v>
      </c>
      <c r="D621" s="4"/>
      <c r="E621" s="4" t="str">
        <f>"104472010"</f>
        <v>104472010</v>
      </c>
      <c r="F621" s="10">
        <v>40413</v>
      </c>
      <c r="G621" s="11">
        <v>513781.76000000001</v>
      </c>
      <c r="H621" s="11">
        <v>512272.73</v>
      </c>
      <c r="I621" s="4" t="s">
        <v>142</v>
      </c>
      <c r="J621" s="4" t="s">
        <v>143</v>
      </c>
      <c r="K621" s="11">
        <v>0</v>
      </c>
      <c r="L621" s="4"/>
      <c r="M621" s="4"/>
      <c r="N621" s="11">
        <v>0</v>
      </c>
      <c r="O621" s="4"/>
      <c r="P621" s="4"/>
      <c r="Q621" s="11">
        <v>1509.03</v>
      </c>
      <c r="R621" s="4" t="s">
        <v>142</v>
      </c>
      <c r="S621" s="12" t="s">
        <v>143</v>
      </c>
    </row>
    <row r="622" spans="1:19" x14ac:dyDescent="0.25">
      <c r="A622" s="9" t="s">
        <v>485</v>
      </c>
      <c r="B622" s="9" t="s">
        <v>291</v>
      </c>
      <c r="C622" s="4">
        <v>201005259</v>
      </c>
      <c r="D622" s="4" t="s">
        <v>549</v>
      </c>
      <c r="E622" s="4" t="str">
        <f>"104292010"</f>
        <v>104292010</v>
      </c>
      <c r="F622" s="10">
        <v>40413</v>
      </c>
      <c r="G622" s="11">
        <v>4500000</v>
      </c>
      <c r="H622" s="11">
        <v>4500000</v>
      </c>
      <c r="I622" s="4" t="s">
        <v>72</v>
      </c>
      <c r="J622" s="4" t="s">
        <v>73</v>
      </c>
      <c r="K622" s="11">
        <v>0</v>
      </c>
      <c r="L622" s="4"/>
      <c r="M622" s="4"/>
      <c r="N622" s="11">
        <v>0</v>
      </c>
      <c r="O622" s="4"/>
      <c r="P622" s="4"/>
      <c r="Q622" s="11">
        <v>0</v>
      </c>
      <c r="R622" s="4"/>
      <c r="S622" s="12"/>
    </row>
    <row r="623" spans="1:19" x14ac:dyDescent="0.25">
      <c r="A623" s="9" t="s">
        <v>485</v>
      </c>
      <c r="B623" s="9" t="s">
        <v>485</v>
      </c>
      <c r="C623" s="4">
        <v>201005393</v>
      </c>
      <c r="D623" s="4" t="s">
        <v>550</v>
      </c>
      <c r="E623" s="4" t="str">
        <f>"108752010"</f>
        <v>108752010</v>
      </c>
      <c r="F623" s="10">
        <v>40429</v>
      </c>
      <c r="G623" s="11">
        <v>6500000</v>
      </c>
      <c r="H623" s="11">
        <v>6500000</v>
      </c>
      <c r="I623" s="4" t="s">
        <v>98</v>
      </c>
      <c r="J623" s="4" t="s">
        <v>99</v>
      </c>
      <c r="K623" s="11">
        <v>0</v>
      </c>
      <c r="L623" s="4"/>
      <c r="M623" s="4"/>
      <c r="N623" s="11">
        <v>0</v>
      </c>
      <c r="O623" s="4"/>
      <c r="P623" s="4"/>
      <c r="Q623" s="11">
        <v>0</v>
      </c>
      <c r="R623" s="4"/>
      <c r="S623" s="12"/>
    </row>
    <row r="624" spans="1:19" x14ac:dyDescent="0.25">
      <c r="A624" s="9" t="s">
        <v>485</v>
      </c>
      <c r="B624" s="9" t="s">
        <v>485</v>
      </c>
      <c r="C624" s="4">
        <v>201005501</v>
      </c>
      <c r="D624" s="4" t="s">
        <v>551</v>
      </c>
      <c r="E624" s="4" t="str">
        <f>"109972010"</f>
        <v>109972010</v>
      </c>
      <c r="F624" s="10">
        <v>40442</v>
      </c>
      <c r="G624" s="11">
        <v>225000</v>
      </c>
      <c r="H624" s="11">
        <v>225000</v>
      </c>
      <c r="I624" s="4" t="s">
        <v>98</v>
      </c>
      <c r="J624" s="4" t="s">
        <v>99</v>
      </c>
      <c r="K624" s="11">
        <v>0</v>
      </c>
      <c r="L624" s="4"/>
      <c r="M624" s="4"/>
      <c r="N624" s="11">
        <v>0</v>
      </c>
      <c r="O624" s="4"/>
      <c r="P624" s="4"/>
      <c r="Q624" s="11">
        <v>0</v>
      </c>
      <c r="R624" s="4"/>
      <c r="S624" s="12"/>
    </row>
    <row r="625" spans="1:19" x14ac:dyDescent="0.25">
      <c r="A625" s="9" t="s">
        <v>552</v>
      </c>
      <c r="B625" s="9" t="s">
        <v>291</v>
      </c>
      <c r="C625" s="4">
        <v>200905887</v>
      </c>
      <c r="D625" s="4"/>
      <c r="E625" s="4" t="str">
        <f>"087952009"</f>
        <v>087952009</v>
      </c>
      <c r="F625" s="10">
        <v>40094</v>
      </c>
      <c r="G625" s="11">
        <v>1000000</v>
      </c>
      <c r="H625" s="11">
        <v>1000000</v>
      </c>
      <c r="I625" s="4" t="s">
        <v>142</v>
      </c>
      <c r="J625" s="4" t="s">
        <v>143</v>
      </c>
      <c r="K625" s="11">
        <v>0</v>
      </c>
      <c r="L625" s="4"/>
      <c r="M625" s="4"/>
      <c r="N625" s="11">
        <v>0</v>
      </c>
      <c r="O625" s="4"/>
      <c r="P625" s="4"/>
      <c r="Q625" s="11">
        <v>0</v>
      </c>
      <c r="R625" s="4"/>
      <c r="S625" s="12"/>
    </row>
    <row r="626" spans="1:19" x14ac:dyDescent="0.25">
      <c r="A626" s="9" t="s">
        <v>552</v>
      </c>
      <c r="B626" s="9" t="s">
        <v>291</v>
      </c>
      <c r="C626" s="4">
        <v>201000275</v>
      </c>
      <c r="D626" s="4" t="s">
        <v>553</v>
      </c>
      <c r="E626" s="4" t="str">
        <f>"005432010"</f>
        <v>005432010</v>
      </c>
      <c r="F626" s="10">
        <v>40108</v>
      </c>
      <c r="G626" s="11">
        <v>2500</v>
      </c>
      <c r="H626" s="11">
        <v>2500</v>
      </c>
      <c r="I626" s="4" t="s">
        <v>30</v>
      </c>
      <c r="J626" s="4" t="s">
        <v>31</v>
      </c>
      <c r="K626" s="11">
        <v>0</v>
      </c>
      <c r="L626" s="4"/>
      <c r="M626" s="4"/>
      <c r="N626" s="11">
        <v>0</v>
      </c>
      <c r="O626" s="4"/>
      <c r="P626" s="4"/>
      <c r="Q626" s="11">
        <v>0</v>
      </c>
      <c r="R626" s="4"/>
      <c r="S626" s="12"/>
    </row>
    <row r="627" spans="1:19" x14ac:dyDescent="0.25">
      <c r="A627" s="9" t="s">
        <v>552</v>
      </c>
      <c r="B627" s="9" t="s">
        <v>291</v>
      </c>
      <c r="C627" s="4">
        <v>201000512</v>
      </c>
      <c r="D627" s="4" t="s">
        <v>554</v>
      </c>
      <c r="E627" s="4" t="str">
        <f>"009552010"</f>
        <v>009552010</v>
      </c>
      <c r="F627" s="10">
        <v>40123</v>
      </c>
      <c r="G627" s="11">
        <v>175000</v>
      </c>
      <c r="H627" s="11">
        <v>175000</v>
      </c>
      <c r="I627" s="4" t="s">
        <v>23</v>
      </c>
      <c r="J627" s="4" t="s">
        <v>24</v>
      </c>
      <c r="K627" s="11">
        <v>0</v>
      </c>
      <c r="L627" s="4"/>
      <c r="M627" s="4"/>
      <c r="N627" s="11">
        <v>0</v>
      </c>
      <c r="O627" s="4"/>
      <c r="P627" s="4"/>
      <c r="Q627" s="11">
        <v>0</v>
      </c>
      <c r="R627" s="4"/>
      <c r="S627" s="12"/>
    </row>
    <row r="628" spans="1:19" x14ac:dyDescent="0.25">
      <c r="A628" s="9" t="s">
        <v>552</v>
      </c>
      <c r="B628" s="9" t="s">
        <v>291</v>
      </c>
      <c r="C628" s="4">
        <v>201000626</v>
      </c>
      <c r="D628" s="4" t="s">
        <v>555</v>
      </c>
      <c r="E628" s="4" t="str">
        <f>"011672010"</f>
        <v>011672010</v>
      </c>
      <c r="F628" s="10">
        <v>40133</v>
      </c>
      <c r="G628" s="11">
        <v>5000</v>
      </c>
      <c r="H628" s="11">
        <v>5000</v>
      </c>
      <c r="I628" s="4" t="s">
        <v>38</v>
      </c>
      <c r="J628" s="4" t="s">
        <v>39</v>
      </c>
      <c r="K628" s="11">
        <v>0</v>
      </c>
      <c r="L628" s="4"/>
      <c r="M628" s="4"/>
      <c r="N628" s="11">
        <v>0</v>
      </c>
      <c r="O628" s="4"/>
      <c r="P628" s="4"/>
      <c r="Q628" s="11">
        <v>0</v>
      </c>
      <c r="R628" s="4"/>
      <c r="S628" s="12"/>
    </row>
    <row r="629" spans="1:19" x14ac:dyDescent="0.25">
      <c r="A629" s="9" t="s">
        <v>552</v>
      </c>
      <c r="B629" s="9" t="s">
        <v>291</v>
      </c>
      <c r="C629" s="4">
        <v>201000720</v>
      </c>
      <c r="D629" s="4"/>
      <c r="E629" s="4" t="str">
        <f>"014182010"</f>
        <v>014182010</v>
      </c>
      <c r="F629" s="10">
        <v>40141</v>
      </c>
      <c r="G629" s="11">
        <v>160000</v>
      </c>
      <c r="H629" s="11">
        <v>160000</v>
      </c>
      <c r="I629" s="4" t="s">
        <v>472</v>
      </c>
      <c r="J629" s="4" t="s">
        <v>473</v>
      </c>
      <c r="K629" s="11">
        <v>0</v>
      </c>
      <c r="L629" s="4"/>
      <c r="M629" s="4"/>
      <c r="N629" s="11">
        <v>0</v>
      </c>
      <c r="O629" s="4"/>
      <c r="P629" s="4"/>
      <c r="Q629" s="11">
        <v>0</v>
      </c>
      <c r="R629" s="4"/>
      <c r="S629" s="12"/>
    </row>
    <row r="630" spans="1:19" x14ac:dyDescent="0.25">
      <c r="A630" s="9" t="s">
        <v>552</v>
      </c>
      <c r="B630" s="9" t="s">
        <v>291</v>
      </c>
      <c r="C630" s="4">
        <v>201000776</v>
      </c>
      <c r="D630" s="4"/>
      <c r="E630" s="4" t="str">
        <f>"015362010"</f>
        <v>015362010</v>
      </c>
      <c r="F630" s="10">
        <v>40142</v>
      </c>
      <c r="G630" s="11">
        <v>728195.1</v>
      </c>
      <c r="H630" s="11">
        <v>728195.1</v>
      </c>
      <c r="I630" s="4" t="s">
        <v>142</v>
      </c>
      <c r="J630" s="4" t="s">
        <v>143</v>
      </c>
      <c r="K630" s="11">
        <v>0</v>
      </c>
      <c r="L630" s="4"/>
      <c r="M630" s="4"/>
      <c r="N630" s="11">
        <v>0</v>
      </c>
      <c r="O630" s="4"/>
      <c r="P630" s="4"/>
      <c r="Q630" s="11">
        <v>0</v>
      </c>
      <c r="R630" s="4"/>
      <c r="S630" s="12"/>
    </row>
    <row r="631" spans="1:19" x14ac:dyDescent="0.25">
      <c r="A631" s="9" t="s">
        <v>552</v>
      </c>
      <c r="B631" s="9" t="s">
        <v>291</v>
      </c>
      <c r="C631" s="4">
        <v>201000946</v>
      </c>
      <c r="D631" s="4" t="s">
        <v>556</v>
      </c>
      <c r="E631" s="4" t="str">
        <f>"019352010"</f>
        <v>019352010</v>
      </c>
      <c r="F631" s="10">
        <v>40156</v>
      </c>
      <c r="G631" s="11">
        <v>5000</v>
      </c>
      <c r="H631" s="11">
        <v>5000</v>
      </c>
      <c r="I631" s="4" t="s">
        <v>23</v>
      </c>
      <c r="J631" s="4" t="s">
        <v>24</v>
      </c>
      <c r="K631" s="11">
        <v>0</v>
      </c>
      <c r="L631" s="4"/>
      <c r="M631" s="4"/>
      <c r="N631" s="11">
        <v>0</v>
      </c>
      <c r="O631" s="4"/>
      <c r="P631" s="4"/>
      <c r="Q631" s="11">
        <v>0</v>
      </c>
      <c r="R631" s="4"/>
      <c r="S631" s="12"/>
    </row>
    <row r="632" spans="1:19" x14ac:dyDescent="0.25">
      <c r="A632" s="9" t="s">
        <v>552</v>
      </c>
      <c r="B632" s="9" t="s">
        <v>291</v>
      </c>
      <c r="C632" s="4">
        <v>201003050</v>
      </c>
      <c r="D632" s="4" t="s">
        <v>2534</v>
      </c>
      <c r="E632" s="4" t="str">
        <f>"060402010"</f>
        <v>060402010</v>
      </c>
      <c r="F632" s="10">
        <v>40289</v>
      </c>
      <c r="G632" s="11">
        <v>13830</v>
      </c>
      <c r="H632" s="11">
        <v>0</v>
      </c>
      <c r="I632" s="4"/>
      <c r="J632" s="4"/>
      <c r="K632" s="11">
        <v>13830</v>
      </c>
      <c r="L632" s="4" t="s">
        <v>234</v>
      </c>
      <c r="M632" s="4" t="s">
        <v>235</v>
      </c>
      <c r="N632" s="11">
        <v>0</v>
      </c>
      <c r="O632" s="4"/>
      <c r="P632" s="4"/>
      <c r="Q632" s="11">
        <v>0</v>
      </c>
      <c r="R632" s="4"/>
      <c r="S632" s="12"/>
    </row>
    <row r="633" spans="1:19" x14ac:dyDescent="0.25">
      <c r="A633" s="9" t="s">
        <v>552</v>
      </c>
      <c r="B633" s="9" t="s">
        <v>291</v>
      </c>
      <c r="C633" s="4">
        <v>201003296</v>
      </c>
      <c r="D633" s="4" t="s">
        <v>2534</v>
      </c>
      <c r="E633" s="4" t="str">
        <f>"065202010"</f>
        <v>065202010</v>
      </c>
      <c r="F633" s="10">
        <v>40303</v>
      </c>
      <c r="G633" s="11">
        <v>9500</v>
      </c>
      <c r="H633" s="11">
        <v>0</v>
      </c>
      <c r="I633" s="4"/>
      <c r="J633" s="4"/>
      <c r="K633" s="11">
        <v>9500</v>
      </c>
      <c r="L633" s="4" t="s">
        <v>234</v>
      </c>
      <c r="M633" s="4" t="s">
        <v>235</v>
      </c>
      <c r="N633" s="11">
        <v>0</v>
      </c>
      <c r="O633" s="4"/>
      <c r="P633" s="4"/>
      <c r="Q633" s="11">
        <v>0</v>
      </c>
      <c r="R633" s="4"/>
      <c r="S633" s="12"/>
    </row>
    <row r="634" spans="1:19" x14ac:dyDescent="0.25">
      <c r="A634" s="9" t="s">
        <v>552</v>
      </c>
      <c r="B634" s="9" t="s">
        <v>291</v>
      </c>
      <c r="C634" s="4">
        <v>201003517</v>
      </c>
      <c r="D634" s="4" t="s">
        <v>557</v>
      </c>
      <c r="E634" s="4" t="str">
        <f>"069902010"</f>
        <v>069902010</v>
      </c>
      <c r="F634" s="10">
        <v>40317</v>
      </c>
      <c r="G634" s="11">
        <v>17000</v>
      </c>
      <c r="H634" s="11">
        <v>17000</v>
      </c>
      <c r="I634" s="4" t="s">
        <v>30</v>
      </c>
      <c r="J634" s="4" t="s">
        <v>31</v>
      </c>
      <c r="K634" s="11">
        <v>0</v>
      </c>
      <c r="L634" s="4"/>
      <c r="M634" s="4"/>
      <c r="N634" s="11">
        <v>0</v>
      </c>
      <c r="O634" s="4"/>
      <c r="P634" s="4"/>
      <c r="Q634" s="11">
        <v>0</v>
      </c>
      <c r="R634" s="4"/>
      <c r="S634" s="12"/>
    </row>
    <row r="635" spans="1:19" x14ac:dyDescent="0.25">
      <c r="A635" s="9" t="s">
        <v>552</v>
      </c>
      <c r="B635" s="9" t="s">
        <v>291</v>
      </c>
      <c r="C635" s="4">
        <v>201004004</v>
      </c>
      <c r="D635" s="4" t="s">
        <v>558</v>
      </c>
      <c r="E635" s="4" t="str">
        <f>"079302010"</f>
        <v>079302010</v>
      </c>
      <c r="F635" s="10">
        <v>40344</v>
      </c>
      <c r="G635" s="11">
        <v>196868.75</v>
      </c>
      <c r="H635" s="11">
        <v>196868.75</v>
      </c>
      <c r="I635" s="4" t="s">
        <v>234</v>
      </c>
      <c r="J635" s="4" t="s">
        <v>235</v>
      </c>
      <c r="K635" s="11">
        <v>0</v>
      </c>
      <c r="L635" s="4"/>
      <c r="M635" s="4"/>
      <c r="N635" s="11">
        <v>0</v>
      </c>
      <c r="O635" s="4"/>
      <c r="P635" s="4"/>
      <c r="Q635" s="11">
        <v>0</v>
      </c>
      <c r="R635" s="4"/>
      <c r="S635" s="12"/>
    </row>
    <row r="636" spans="1:19" x14ac:dyDescent="0.25">
      <c r="A636" s="9" t="s">
        <v>552</v>
      </c>
      <c r="B636" s="9" t="s">
        <v>291</v>
      </c>
      <c r="C636" s="4">
        <v>201004373</v>
      </c>
      <c r="D636" s="4" t="s">
        <v>559</v>
      </c>
      <c r="E636" s="4" t="str">
        <f>"095502010"</f>
        <v>095502010</v>
      </c>
      <c r="F636" s="10">
        <v>40388</v>
      </c>
      <c r="G636" s="11">
        <v>3500</v>
      </c>
      <c r="H636" s="11">
        <v>3500</v>
      </c>
      <c r="I636" s="4" t="s">
        <v>23</v>
      </c>
      <c r="J636" s="4" t="s">
        <v>24</v>
      </c>
      <c r="K636" s="11">
        <v>0</v>
      </c>
      <c r="L636" s="4"/>
      <c r="M636" s="4"/>
      <c r="N636" s="11">
        <v>0</v>
      </c>
      <c r="O636" s="4"/>
      <c r="P636" s="4"/>
      <c r="Q636" s="11">
        <v>0</v>
      </c>
      <c r="R636" s="4"/>
      <c r="S636" s="12"/>
    </row>
    <row r="637" spans="1:19" x14ac:dyDescent="0.25">
      <c r="A637" s="9" t="s">
        <v>552</v>
      </c>
      <c r="B637" s="9" t="s">
        <v>291</v>
      </c>
      <c r="C637" s="4">
        <v>201005103</v>
      </c>
      <c r="D637" s="4" t="s">
        <v>2534</v>
      </c>
      <c r="E637" s="4" t="str">
        <f>"102312010"</f>
        <v>102312010</v>
      </c>
      <c r="F637" s="10">
        <v>40409</v>
      </c>
      <c r="G637" s="11">
        <v>7048.5</v>
      </c>
      <c r="H637" s="11">
        <v>0</v>
      </c>
      <c r="I637" s="4"/>
      <c r="J637" s="4"/>
      <c r="K637" s="11">
        <v>7048.5</v>
      </c>
      <c r="L637" s="4" t="s">
        <v>234</v>
      </c>
      <c r="M637" s="4" t="s">
        <v>235</v>
      </c>
      <c r="N637" s="11">
        <v>0</v>
      </c>
      <c r="O637" s="4"/>
      <c r="P637" s="4"/>
      <c r="Q637" s="11">
        <v>0</v>
      </c>
      <c r="R637" s="4"/>
      <c r="S637" s="12"/>
    </row>
    <row r="638" spans="1:19" x14ac:dyDescent="0.25">
      <c r="A638" s="9" t="s">
        <v>560</v>
      </c>
      <c r="B638" s="9" t="s">
        <v>291</v>
      </c>
      <c r="C638" s="4">
        <v>201004677</v>
      </c>
      <c r="D638" s="4" t="s">
        <v>2534</v>
      </c>
      <c r="E638" s="4" t="str">
        <f>"092922010"</f>
        <v>092922010</v>
      </c>
      <c r="F638" s="10">
        <v>40374</v>
      </c>
      <c r="G638" s="11">
        <v>5587.5</v>
      </c>
      <c r="H638" s="11">
        <v>0</v>
      </c>
      <c r="I638" s="4"/>
      <c r="J638" s="4"/>
      <c r="K638" s="11">
        <v>5587.5</v>
      </c>
      <c r="L638" s="4" t="s">
        <v>234</v>
      </c>
      <c r="M638" s="4" t="s">
        <v>235</v>
      </c>
      <c r="N638" s="11">
        <v>0</v>
      </c>
      <c r="O638" s="4"/>
      <c r="P638" s="4"/>
      <c r="Q638" s="11">
        <v>0</v>
      </c>
      <c r="R638" s="4"/>
      <c r="S638" s="12"/>
    </row>
    <row r="639" spans="1:19" x14ac:dyDescent="0.25">
      <c r="A639" s="9" t="s">
        <v>560</v>
      </c>
      <c r="B639" s="9" t="s">
        <v>291</v>
      </c>
      <c r="C639" s="4">
        <v>201004677</v>
      </c>
      <c r="D639" s="4" t="s">
        <v>2534</v>
      </c>
      <c r="E639" s="4" t="str">
        <f>"092942010"</f>
        <v>092942010</v>
      </c>
      <c r="F639" s="10">
        <v>40375</v>
      </c>
      <c r="G639" s="11">
        <v>2912.5</v>
      </c>
      <c r="H639" s="11">
        <v>0</v>
      </c>
      <c r="I639" s="4"/>
      <c r="J639" s="4"/>
      <c r="K639" s="11">
        <v>2912.5</v>
      </c>
      <c r="L639" s="4" t="s">
        <v>234</v>
      </c>
      <c r="M639" s="4" t="s">
        <v>235</v>
      </c>
      <c r="N639" s="11">
        <v>0</v>
      </c>
      <c r="O639" s="4"/>
      <c r="P639" s="4"/>
      <c r="Q639" s="11">
        <v>0</v>
      </c>
      <c r="R639" s="4"/>
      <c r="S639" s="12"/>
    </row>
    <row r="640" spans="1:19" x14ac:dyDescent="0.25">
      <c r="A640" s="9" t="s">
        <v>561</v>
      </c>
      <c r="B640" s="9" t="s">
        <v>291</v>
      </c>
      <c r="C640" s="4">
        <v>201000195</v>
      </c>
      <c r="D640" s="4"/>
      <c r="E640" s="4" t="str">
        <f>"003842010"</f>
        <v>003842010</v>
      </c>
      <c r="F640" s="10">
        <v>40102</v>
      </c>
      <c r="G640" s="11">
        <v>113306.53</v>
      </c>
      <c r="H640" s="11">
        <v>113306.53</v>
      </c>
      <c r="I640" s="4" t="s">
        <v>142</v>
      </c>
      <c r="J640" s="4" t="s">
        <v>143</v>
      </c>
      <c r="K640" s="11">
        <v>0</v>
      </c>
      <c r="L640" s="4"/>
      <c r="M640" s="4"/>
      <c r="N640" s="11">
        <v>0</v>
      </c>
      <c r="O640" s="4"/>
      <c r="P640" s="4"/>
      <c r="Q640" s="11">
        <v>0</v>
      </c>
      <c r="R640" s="4"/>
      <c r="S640" s="12"/>
    </row>
    <row r="641" spans="1:19" x14ac:dyDescent="0.25">
      <c r="A641" s="9" t="s">
        <v>561</v>
      </c>
      <c r="B641" s="9" t="s">
        <v>291</v>
      </c>
      <c r="C641" s="4">
        <v>201002075</v>
      </c>
      <c r="D641" s="4"/>
      <c r="E641" s="4" t="str">
        <f>"042272010"</f>
        <v>042272010</v>
      </c>
      <c r="F641" s="10">
        <v>40238</v>
      </c>
      <c r="G641" s="11">
        <v>115544.92</v>
      </c>
      <c r="H641" s="11">
        <v>115544.92</v>
      </c>
      <c r="I641" s="4" t="s">
        <v>142</v>
      </c>
      <c r="J641" s="4" t="s">
        <v>143</v>
      </c>
      <c r="K641" s="11">
        <v>0</v>
      </c>
      <c r="L641" s="4"/>
      <c r="M641" s="4"/>
      <c r="N641" s="11">
        <v>0</v>
      </c>
      <c r="O641" s="4"/>
      <c r="P641" s="4"/>
      <c r="Q641" s="11">
        <v>0</v>
      </c>
      <c r="R641" s="4"/>
      <c r="S641" s="12"/>
    </row>
    <row r="642" spans="1:19" x14ac:dyDescent="0.25">
      <c r="A642" s="9" t="s">
        <v>562</v>
      </c>
      <c r="B642" s="9" t="s">
        <v>291</v>
      </c>
      <c r="C642" s="4">
        <v>201004834</v>
      </c>
      <c r="D642" s="4" t="s">
        <v>563</v>
      </c>
      <c r="E642" s="4" t="str">
        <f>"097352010"</f>
        <v>097352010</v>
      </c>
      <c r="F642" s="10">
        <v>40393</v>
      </c>
      <c r="G642" s="11">
        <v>3680000</v>
      </c>
      <c r="H642" s="11">
        <v>3680000</v>
      </c>
      <c r="I642" s="4" t="s">
        <v>142</v>
      </c>
      <c r="J642" s="4" t="s">
        <v>143</v>
      </c>
      <c r="K642" s="11">
        <v>0</v>
      </c>
      <c r="L642" s="4"/>
      <c r="M642" s="4"/>
      <c r="N642" s="11">
        <v>0</v>
      </c>
      <c r="O642" s="4"/>
      <c r="P642" s="4"/>
      <c r="Q642" s="11">
        <v>0</v>
      </c>
      <c r="R642" s="4"/>
      <c r="S642" s="12"/>
    </row>
    <row r="643" spans="1:19" x14ac:dyDescent="0.25">
      <c r="A643" s="9" t="s">
        <v>564</v>
      </c>
      <c r="B643" s="9" t="s">
        <v>291</v>
      </c>
      <c r="C643" s="4">
        <v>201002386</v>
      </c>
      <c r="D643" s="4" t="s">
        <v>565</v>
      </c>
      <c r="E643" s="4" t="str">
        <f>"047542010"</f>
        <v>047542010</v>
      </c>
      <c r="F643" s="10">
        <v>40253</v>
      </c>
      <c r="G643" s="11">
        <v>40000</v>
      </c>
      <c r="H643" s="11">
        <v>40000</v>
      </c>
      <c r="I643" s="4" t="s">
        <v>23</v>
      </c>
      <c r="J643" s="4" t="s">
        <v>24</v>
      </c>
      <c r="K643" s="11">
        <v>0</v>
      </c>
      <c r="L643" s="4"/>
      <c r="M643" s="4"/>
      <c r="N643" s="11">
        <v>0</v>
      </c>
      <c r="O643" s="4"/>
      <c r="P643" s="4"/>
      <c r="Q643" s="11">
        <v>0</v>
      </c>
      <c r="R643" s="4"/>
      <c r="S643" s="12"/>
    </row>
    <row r="644" spans="1:19" x14ac:dyDescent="0.25">
      <c r="A644" s="9" t="s">
        <v>564</v>
      </c>
      <c r="B644" s="9" t="s">
        <v>291</v>
      </c>
      <c r="C644" s="4">
        <v>201002499</v>
      </c>
      <c r="D644" s="4" t="s">
        <v>566</v>
      </c>
      <c r="E644" s="4" t="str">
        <f>"050882010"</f>
        <v>050882010</v>
      </c>
      <c r="F644" s="10">
        <v>40262</v>
      </c>
      <c r="G644" s="11">
        <v>35000</v>
      </c>
      <c r="H644" s="11">
        <v>35000</v>
      </c>
      <c r="I644" s="4" t="s">
        <v>123</v>
      </c>
      <c r="J644" s="4" t="s">
        <v>124</v>
      </c>
      <c r="K644" s="11">
        <v>0</v>
      </c>
      <c r="L644" s="4"/>
      <c r="M644" s="4"/>
      <c r="N644" s="11">
        <v>0</v>
      </c>
      <c r="O644" s="4"/>
      <c r="P644" s="4"/>
      <c r="Q644" s="11">
        <v>0</v>
      </c>
      <c r="R644" s="4"/>
      <c r="S644" s="12"/>
    </row>
    <row r="645" spans="1:19" x14ac:dyDescent="0.25">
      <c r="A645" s="9" t="s">
        <v>564</v>
      </c>
      <c r="B645" s="9" t="s">
        <v>291</v>
      </c>
      <c r="C645" s="4">
        <v>201003009</v>
      </c>
      <c r="D645" s="4" t="s">
        <v>567</v>
      </c>
      <c r="E645" s="4" t="str">
        <f>"061302010"</f>
        <v>061302010</v>
      </c>
      <c r="F645" s="10">
        <v>40291</v>
      </c>
      <c r="G645" s="11">
        <v>2500</v>
      </c>
      <c r="H645" s="11">
        <v>2500</v>
      </c>
      <c r="I645" s="4" t="s">
        <v>23</v>
      </c>
      <c r="J645" s="4" t="s">
        <v>24</v>
      </c>
      <c r="K645" s="11">
        <v>0</v>
      </c>
      <c r="L645" s="4"/>
      <c r="M645" s="4"/>
      <c r="N645" s="11">
        <v>0</v>
      </c>
      <c r="O645" s="4"/>
      <c r="P645" s="4"/>
      <c r="Q645" s="11">
        <v>0</v>
      </c>
      <c r="R645" s="4"/>
      <c r="S645" s="12"/>
    </row>
    <row r="646" spans="1:19" x14ac:dyDescent="0.25">
      <c r="A646" s="9" t="s">
        <v>564</v>
      </c>
      <c r="B646" s="9" t="s">
        <v>291</v>
      </c>
      <c r="C646" s="4">
        <v>201003754</v>
      </c>
      <c r="D646" s="4" t="s">
        <v>568</v>
      </c>
      <c r="E646" s="4" t="str">
        <f>"074942010"</f>
        <v>074942010</v>
      </c>
      <c r="F646" s="10">
        <v>40331</v>
      </c>
      <c r="G646" s="11">
        <v>4133</v>
      </c>
      <c r="H646" s="11">
        <v>4133</v>
      </c>
      <c r="I646" s="4" t="s">
        <v>23</v>
      </c>
      <c r="J646" s="4" t="s">
        <v>24</v>
      </c>
      <c r="K646" s="11">
        <v>0</v>
      </c>
      <c r="L646" s="4"/>
      <c r="M646" s="4"/>
      <c r="N646" s="11">
        <v>0</v>
      </c>
      <c r="O646" s="4"/>
      <c r="P646" s="4"/>
      <c r="Q646" s="11">
        <v>0</v>
      </c>
      <c r="R646" s="4"/>
      <c r="S646" s="12"/>
    </row>
    <row r="647" spans="1:19" x14ac:dyDescent="0.25">
      <c r="A647" s="9" t="s">
        <v>569</v>
      </c>
      <c r="B647" s="9" t="s">
        <v>291</v>
      </c>
      <c r="C647" s="4">
        <v>201001062</v>
      </c>
      <c r="D647" s="4"/>
      <c r="E647" s="4" t="str">
        <f>"019962010"</f>
        <v>019962010</v>
      </c>
      <c r="F647" s="10">
        <v>40157</v>
      </c>
      <c r="G647" s="11">
        <v>4500</v>
      </c>
      <c r="H647" s="11">
        <v>4500</v>
      </c>
      <c r="I647" s="4" t="s">
        <v>30</v>
      </c>
      <c r="J647" s="4" t="s">
        <v>31</v>
      </c>
      <c r="K647" s="11">
        <v>0</v>
      </c>
      <c r="L647" s="4"/>
      <c r="M647" s="4"/>
      <c r="N647" s="11">
        <v>0</v>
      </c>
      <c r="O647" s="4"/>
      <c r="P647" s="4"/>
      <c r="Q647" s="11">
        <v>0</v>
      </c>
      <c r="R647" s="4"/>
      <c r="S647" s="12"/>
    </row>
    <row r="648" spans="1:19" x14ac:dyDescent="0.25">
      <c r="A648" s="9" t="s">
        <v>569</v>
      </c>
      <c r="B648" s="9" t="s">
        <v>291</v>
      </c>
      <c r="C648" s="4">
        <v>201001466</v>
      </c>
      <c r="D648" s="4" t="s">
        <v>2534</v>
      </c>
      <c r="E648" s="4" t="str">
        <f>"037522010"</f>
        <v>037522010</v>
      </c>
      <c r="F648" s="10">
        <v>40214</v>
      </c>
      <c r="G648" s="11">
        <v>72000</v>
      </c>
      <c r="H648" s="11">
        <v>60000</v>
      </c>
      <c r="I648" s="4" t="s">
        <v>30</v>
      </c>
      <c r="J648" s="4" t="s">
        <v>31</v>
      </c>
      <c r="K648" s="11">
        <v>12000</v>
      </c>
      <c r="L648" s="4" t="s">
        <v>30</v>
      </c>
      <c r="M648" s="4" t="s">
        <v>31</v>
      </c>
      <c r="N648" s="11">
        <v>0</v>
      </c>
      <c r="O648" s="4"/>
      <c r="P648" s="4"/>
      <c r="Q648" s="11">
        <v>0</v>
      </c>
      <c r="R648" s="4"/>
      <c r="S648" s="12"/>
    </row>
    <row r="649" spans="1:19" x14ac:dyDescent="0.25">
      <c r="A649" s="9" t="s">
        <v>570</v>
      </c>
      <c r="B649" s="9" t="s">
        <v>291</v>
      </c>
      <c r="C649" s="4">
        <v>201002039</v>
      </c>
      <c r="D649" s="4"/>
      <c r="E649" s="4" t="str">
        <f>"043372010"</f>
        <v>043372010</v>
      </c>
      <c r="F649" s="10">
        <v>40240</v>
      </c>
      <c r="G649" s="11">
        <v>115358</v>
      </c>
      <c r="H649" s="11">
        <v>0</v>
      </c>
      <c r="I649" s="4"/>
      <c r="J649" s="4"/>
      <c r="K649" s="11">
        <v>115358</v>
      </c>
      <c r="L649" s="4" t="s">
        <v>142</v>
      </c>
      <c r="M649" s="4" t="s">
        <v>143</v>
      </c>
      <c r="N649" s="11">
        <v>0</v>
      </c>
      <c r="O649" s="4"/>
      <c r="P649" s="4"/>
      <c r="Q649" s="11">
        <v>0</v>
      </c>
      <c r="R649" s="4"/>
      <c r="S649" s="12"/>
    </row>
    <row r="650" spans="1:19" x14ac:dyDescent="0.25">
      <c r="A650" s="9" t="s">
        <v>571</v>
      </c>
      <c r="B650" s="9" t="s">
        <v>291</v>
      </c>
      <c r="C650" s="4">
        <v>200903336</v>
      </c>
      <c r="D650" s="4" t="s">
        <v>572</v>
      </c>
      <c r="E650" s="4" t="str">
        <f>"088112009"</f>
        <v>088112009</v>
      </c>
      <c r="F650" s="10">
        <v>40102</v>
      </c>
      <c r="G650" s="11">
        <v>99900</v>
      </c>
      <c r="H650" s="11">
        <v>99900</v>
      </c>
      <c r="I650" s="4" t="s">
        <v>72</v>
      </c>
      <c r="J650" s="4" t="s">
        <v>73</v>
      </c>
      <c r="K650" s="11">
        <v>0</v>
      </c>
      <c r="L650" s="4"/>
      <c r="M650" s="4"/>
      <c r="N650" s="11">
        <v>0</v>
      </c>
      <c r="O650" s="4"/>
      <c r="P650" s="4"/>
      <c r="Q650" s="11">
        <v>0</v>
      </c>
      <c r="R650" s="4"/>
      <c r="S650" s="12"/>
    </row>
    <row r="651" spans="1:19" x14ac:dyDescent="0.25">
      <c r="A651" s="9" t="s">
        <v>571</v>
      </c>
      <c r="B651" s="9" t="s">
        <v>291</v>
      </c>
      <c r="C651" s="4">
        <v>200905491</v>
      </c>
      <c r="D651" s="4" t="s">
        <v>573</v>
      </c>
      <c r="E651" s="4" t="str">
        <f>"088002009"</f>
        <v>088002009</v>
      </c>
      <c r="F651" s="10">
        <v>40095</v>
      </c>
      <c r="G651" s="11">
        <v>50000</v>
      </c>
      <c r="H651" s="11">
        <v>50000</v>
      </c>
      <c r="I651" s="4" t="s">
        <v>407</v>
      </c>
      <c r="J651" s="4" t="s">
        <v>408</v>
      </c>
      <c r="K651" s="11">
        <v>0</v>
      </c>
      <c r="L651" s="4"/>
      <c r="M651" s="4"/>
      <c r="N651" s="11">
        <v>0</v>
      </c>
      <c r="O651" s="4"/>
      <c r="P651" s="4"/>
      <c r="Q651" s="11">
        <v>0</v>
      </c>
      <c r="R651" s="4"/>
      <c r="S651" s="12"/>
    </row>
    <row r="652" spans="1:19" x14ac:dyDescent="0.25">
      <c r="A652" s="9" t="s">
        <v>571</v>
      </c>
      <c r="B652" s="9" t="s">
        <v>291</v>
      </c>
      <c r="C652" s="4">
        <v>200905517</v>
      </c>
      <c r="D652" s="4" t="s">
        <v>574</v>
      </c>
      <c r="E652" s="4" t="str">
        <f>"088262009"</f>
        <v>088262009</v>
      </c>
      <c r="F652" s="10">
        <v>40116</v>
      </c>
      <c r="G652" s="11">
        <v>5000</v>
      </c>
      <c r="H652" s="11">
        <v>5000</v>
      </c>
      <c r="I652" s="4" t="s">
        <v>72</v>
      </c>
      <c r="J652" s="4" t="s">
        <v>73</v>
      </c>
      <c r="K652" s="11">
        <v>0</v>
      </c>
      <c r="L652" s="4"/>
      <c r="M652" s="4"/>
      <c r="N652" s="11">
        <v>0</v>
      </c>
      <c r="O652" s="4"/>
      <c r="P652" s="4"/>
      <c r="Q652" s="11">
        <v>0</v>
      </c>
      <c r="R652" s="4"/>
      <c r="S652" s="12"/>
    </row>
    <row r="653" spans="1:19" x14ac:dyDescent="0.25">
      <c r="A653" s="9" t="s">
        <v>571</v>
      </c>
      <c r="B653" s="9" t="s">
        <v>291</v>
      </c>
      <c r="C653" s="4">
        <v>200905554</v>
      </c>
      <c r="D653" s="4" t="s">
        <v>575</v>
      </c>
      <c r="E653" s="4" t="str">
        <f>"088012009"</f>
        <v>088012009</v>
      </c>
      <c r="F653" s="10">
        <v>40095</v>
      </c>
      <c r="G653" s="11">
        <v>100000</v>
      </c>
      <c r="H653" s="11">
        <v>100000</v>
      </c>
      <c r="I653" s="4" t="s">
        <v>72</v>
      </c>
      <c r="J653" s="4" t="s">
        <v>73</v>
      </c>
      <c r="K653" s="11">
        <v>0</v>
      </c>
      <c r="L653" s="4"/>
      <c r="M653" s="4"/>
      <c r="N653" s="11">
        <v>0</v>
      </c>
      <c r="O653" s="4"/>
      <c r="P653" s="4"/>
      <c r="Q653" s="11">
        <v>0</v>
      </c>
      <c r="R653" s="4"/>
      <c r="S653" s="12"/>
    </row>
    <row r="654" spans="1:19" x14ac:dyDescent="0.25">
      <c r="A654" s="9" t="s">
        <v>571</v>
      </c>
      <c r="B654" s="9" t="s">
        <v>291</v>
      </c>
      <c r="C654" s="4">
        <v>200905599</v>
      </c>
      <c r="D654" s="4" t="s">
        <v>576</v>
      </c>
      <c r="E654" s="4" t="str">
        <f>"087982009"</f>
        <v>087982009</v>
      </c>
      <c r="F654" s="10">
        <v>40094</v>
      </c>
      <c r="G654" s="11">
        <v>758334.57</v>
      </c>
      <c r="H654" s="11">
        <v>749054.13</v>
      </c>
      <c r="I654" s="4" t="s">
        <v>72</v>
      </c>
      <c r="J654" s="4" t="s">
        <v>73</v>
      </c>
      <c r="K654" s="11">
        <v>9280.44</v>
      </c>
      <c r="L654" s="4" t="s">
        <v>72</v>
      </c>
      <c r="M654" s="4" t="s">
        <v>73</v>
      </c>
      <c r="N654" s="11">
        <v>0</v>
      </c>
      <c r="O654" s="4"/>
      <c r="P654" s="4"/>
      <c r="Q654" s="11">
        <v>0</v>
      </c>
      <c r="R654" s="4"/>
      <c r="S654" s="12"/>
    </row>
    <row r="655" spans="1:19" x14ac:dyDescent="0.25">
      <c r="A655" s="9" t="s">
        <v>571</v>
      </c>
      <c r="B655" s="9" t="s">
        <v>291</v>
      </c>
      <c r="C655" s="4">
        <v>200905891</v>
      </c>
      <c r="D655" s="4" t="s">
        <v>577</v>
      </c>
      <c r="E655" s="4" t="str">
        <f>"086692009"</f>
        <v>086692009</v>
      </c>
      <c r="F655" s="10">
        <v>40091</v>
      </c>
      <c r="G655" s="11">
        <v>18500</v>
      </c>
      <c r="H655" s="11">
        <v>18500</v>
      </c>
      <c r="I655" s="4" t="s">
        <v>30</v>
      </c>
      <c r="J655" s="4" t="s">
        <v>31</v>
      </c>
      <c r="K655" s="11">
        <v>0</v>
      </c>
      <c r="L655" s="4"/>
      <c r="M655" s="4"/>
      <c r="N655" s="11">
        <v>0</v>
      </c>
      <c r="O655" s="4"/>
      <c r="P655" s="4"/>
      <c r="Q655" s="11">
        <v>0</v>
      </c>
      <c r="R655" s="4"/>
      <c r="S655" s="12"/>
    </row>
    <row r="656" spans="1:19" x14ac:dyDescent="0.25">
      <c r="A656" s="9" t="s">
        <v>571</v>
      </c>
      <c r="B656" s="9" t="s">
        <v>291</v>
      </c>
      <c r="C656" s="4">
        <v>200905931</v>
      </c>
      <c r="D656" s="4" t="s">
        <v>578</v>
      </c>
      <c r="E656" s="4" t="str">
        <f>"087142009"</f>
        <v>087142009</v>
      </c>
      <c r="F656" s="10">
        <v>40094</v>
      </c>
      <c r="G656" s="11">
        <v>50000</v>
      </c>
      <c r="H656" s="11">
        <v>50000</v>
      </c>
      <c r="I656" s="4" t="s">
        <v>72</v>
      </c>
      <c r="J656" s="4" t="s">
        <v>73</v>
      </c>
      <c r="K656" s="11">
        <v>0</v>
      </c>
      <c r="L656" s="4"/>
      <c r="M656" s="4"/>
      <c r="N656" s="11">
        <v>0</v>
      </c>
      <c r="O656" s="4"/>
      <c r="P656" s="4"/>
      <c r="Q656" s="11">
        <v>0</v>
      </c>
      <c r="R656" s="4"/>
      <c r="S656" s="12"/>
    </row>
    <row r="657" spans="1:19" x14ac:dyDescent="0.25">
      <c r="A657" s="9" t="s">
        <v>571</v>
      </c>
      <c r="B657" s="9" t="s">
        <v>291</v>
      </c>
      <c r="C657" s="4">
        <v>201000099</v>
      </c>
      <c r="D657" s="4" t="s">
        <v>579</v>
      </c>
      <c r="E657" s="4" t="str">
        <f>"001862010"</f>
        <v>001862010</v>
      </c>
      <c r="F657" s="10">
        <v>40094</v>
      </c>
      <c r="G657" s="11">
        <v>345000</v>
      </c>
      <c r="H657" s="11">
        <v>345000</v>
      </c>
      <c r="I657" s="4" t="s">
        <v>72</v>
      </c>
      <c r="J657" s="4" t="s">
        <v>73</v>
      </c>
      <c r="K657" s="11">
        <v>0</v>
      </c>
      <c r="L657" s="4"/>
      <c r="M657" s="4"/>
      <c r="N657" s="11">
        <v>0</v>
      </c>
      <c r="O657" s="4"/>
      <c r="P657" s="4"/>
      <c r="Q657" s="11">
        <v>0</v>
      </c>
      <c r="R657" s="4"/>
      <c r="S657" s="12"/>
    </row>
    <row r="658" spans="1:19" x14ac:dyDescent="0.25">
      <c r="A658" s="9" t="s">
        <v>571</v>
      </c>
      <c r="B658" s="9" t="s">
        <v>291</v>
      </c>
      <c r="C658" s="4">
        <v>201000138</v>
      </c>
      <c r="D658" s="4" t="s">
        <v>580</v>
      </c>
      <c r="E658" s="4" t="str">
        <f>"002322010"</f>
        <v>002322010</v>
      </c>
      <c r="F658" s="10">
        <v>40095</v>
      </c>
      <c r="G658" s="11">
        <v>350000</v>
      </c>
      <c r="H658" s="11">
        <v>350000</v>
      </c>
      <c r="I658" s="4" t="s">
        <v>72</v>
      </c>
      <c r="J658" s="4" t="s">
        <v>73</v>
      </c>
      <c r="K658" s="11">
        <v>0</v>
      </c>
      <c r="L658" s="4"/>
      <c r="M658" s="4"/>
      <c r="N658" s="11">
        <v>0</v>
      </c>
      <c r="O658" s="4"/>
      <c r="P658" s="4"/>
      <c r="Q658" s="11">
        <v>0</v>
      </c>
      <c r="R658" s="4"/>
      <c r="S658" s="12"/>
    </row>
    <row r="659" spans="1:19" x14ac:dyDescent="0.25">
      <c r="A659" s="9" t="s">
        <v>571</v>
      </c>
      <c r="B659" s="9" t="s">
        <v>291</v>
      </c>
      <c r="C659" s="4">
        <v>201000186</v>
      </c>
      <c r="D659" s="4" t="s">
        <v>581</v>
      </c>
      <c r="E659" s="4" t="str">
        <f>"003142010"</f>
        <v>003142010</v>
      </c>
      <c r="F659" s="10">
        <v>40101</v>
      </c>
      <c r="G659" s="11">
        <v>32000</v>
      </c>
      <c r="H659" s="11">
        <v>32000</v>
      </c>
      <c r="I659" s="4" t="s">
        <v>68</v>
      </c>
      <c r="J659" s="4" t="s">
        <v>69</v>
      </c>
      <c r="K659" s="11">
        <v>0</v>
      </c>
      <c r="L659" s="4"/>
      <c r="M659" s="4"/>
      <c r="N659" s="11">
        <v>0</v>
      </c>
      <c r="O659" s="4"/>
      <c r="P659" s="4"/>
      <c r="Q659" s="11">
        <v>0</v>
      </c>
      <c r="R659" s="4"/>
      <c r="S659" s="12"/>
    </row>
    <row r="660" spans="1:19" x14ac:dyDescent="0.25">
      <c r="A660" s="9" t="s">
        <v>571</v>
      </c>
      <c r="B660" s="9" t="s">
        <v>291</v>
      </c>
      <c r="C660" s="4">
        <v>201000189</v>
      </c>
      <c r="D660" s="4" t="s">
        <v>582</v>
      </c>
      <c r="E660" s="4" t="str">
        <f>"003202010"</f>
        <v>003202010</v>
      </c>
      <c r="F660" s="10">
        <v>40101</v>
      </c>
      <c r="G660" s="11">
        <v>19999</v>
      </c>
      <c r="H660" s="11">
        <v>19999</v>
      </c>
      <c r="I660" s="4" t="s">
        <v>30</v>
      </c>
      <c r="J660" s="4" t="s">
        <v>31</v>
      </c>
      <c r="K660" s="11">
        <v>0</v>
      </c>
      <c r="L660" s="4"/>
      <c r="M660" s="4"/>
      <c r="N660" s="11">
        <v>0</v>
      </c>
      <c r="O660" s="4"/>
      <c r="P660" s="4"/>
      <c r="Q660" s="11">
        <v>0</v>
      </c>
      <c r="R660" s="4"/>
      <c r="S660" s="12"/>
    </row>
    <row r="661" spans="1:19" x14ac:dyDescent="0.25">
      <c r="A661" s="9" t="s">
        <v>571</v>
      </c>
      <c r="B661" s="9" t="s">
        <v>291</v>
      </c>
      <c r="C661" s="4">
        <v>201000213</v>
      </c>
      <c r="D661" s="4" t="s">
        <v>583</v>
      </c>
      <c r="E661" s="4" t="str">
        <f>"003762010"</f>
        <v>003762010</v>
      </c>
      <c r="F661" s="10">
        <v>40105</v>
      </c>
      <c r="G661" s="11">
        <v>5000</v>
      </c>
      <c r="H661" s="11">
        <v>5000</v>
      </c>
      <c r="I661" s="4" t="s">
        <v>30</v>
      </c>
      <c r="J661" s="4" t="s">
        <v>31</v>
      </c>
      <c r="K661" s="11">
        <v>0</v>
      </c>
      <c r="L661" s="4"/>
      <c r="M661" s="4"/>
      <c r="N661" s="11">
        <v>0</v>
      </c>
      <c r="O661" s="4"/>
      <c r="P661" s="4"/>
      <c r="Q661" s="11">
        <v>0</v>
      </c>
      <c r="R661" s="4"/>
      <c r="S661" s="12"/>
    </row>
    <row r="662" spans="1:19" x14ac:dyDescent="0.25">
      <c r="A662" s="9" t="s">
        <v>571</v>
      </c>
      <c r="B662" s="9" t="s">
        <v>291</v>
      </c>
      <c r="C662" s="4">
        <v>201000244</v>
      </c>
      <c r="D662" s="4" t="s">
        <v>584</v>
      </c>
      <c r="E662" s="4" t="str">
        <f>"004222010"</f>
        <v>004222010</v>
      </c>
      <c r="F662" s="10">
        <v>40105</v>
      </c>
      <c r="G662" s="11">
        <v>92676.88</v>
      </c>
      <c r="H662" s="11">
        <v>92676.88</v>
      </c>
      <c r="I662" s="4" t="s">
        <v>30</v>
      </c>
      <c r="J662" s="4" t="s">
        <v>31</v>
      </c>
      <c r="K662" s="11">
        <v>0</v>
      </c>
      <c r="L662" s="4"/>
      <c r="M662" s="4"/>
      <c r="N662" s="11">
        <v>0</v>
      </c>
      <c r="O662" s="4"/>
      <c r="P662" s="4"/>
      <c r="Q662" s="11">
        <v>0</v>
      </c>
      <c r="R662" s="4"/>
      <c r="S662" s="12"/>
    </row>
    <row r="663" spans="1:19" x14ac:dyDescent="0.25">
      <c r="A663" s="9" t="s">
        <v>571</v>
      </c>
      <c r="B663" s="9" t="s">
        <v>291</v>
      </c>
      <c r="C663" s="4">
        <v>201000301</v>
      </c>
      <c r="D663" s="4" t="s">
        <v>585</v>
      </c>
      <c r="E663" s="4" t="str">
        <f>"006412010"</f>
        <v>006412010</v>
      </c>
      <c r="F663" s="10">
        <v>40112</v>
      </c>
      <c r="G663" s="11">
        <v>6000</v>
      </c>
      <c r="H663" s="11">
        <v>6000</v>
      </c>
      <c r="I663" s="4" t="s">
        <v>88</v>
      </c>
      <c r="J663" s="4" t="s">
        <v>89</v>
      </c>
      <c r="K663" s="11">
        <v>0</v>
      </c>
      <c r="L663" s="4"/>
      <c r="M663" s="4"/>
      <c r="N663" s="11">
        <v>0</v>
      </c>
      <c r="O663" s="4"/>
      <c r="P663" s="4"/>
      <c r="Q663" s="11">
        <v>0</v>
      </c>
      <c r="R663" s="4"/>
      <c r="S663" s="12"/>
    </row>
    <row r="664" spans="1:19" x14ac:dyDescent="0.25">
      <c r="A664" s="9" t="s">
        <v>571</v>
      </c>
      <c r="B664" s="9" t="s">
        <v>291</v>
      </c>
      <c r="C664" s="4">
        <v>201000302</v>
      </c>
      <c r="D664" s="4" t="s">
        <v>586</v>
      </c>
      <c r="E664" s="4" t="str">
        <f>"005532010"</f>
        <v>005532010</v>
      </c>
      <c r="F664" s="10">
        <v>40109</v>
      </c>
      <c r="G664" s="11">
        <v>250</v>
      </c>
      <c r="H664" s="11">
        <v>0</v>
      </c>
      <c r="I664" s="4"/>
      <c r="J664" s="4"/>
      <c r="K664" s="11">
        <v>0</v>
      </c>
      <c r="L664" s="4"/>
      <c r="M664" s="4"/>
      <c r="N664" s="11">
        <v>250</v>
      </c>
      <c r="O664" s="4" t="s">
        <v>56</v>
      </c>
      <c r="P664" s="4" t="s">
        <v>57</v>
      </c>
      <c r="Q664" s="11">
        <v>0</v>
      </c>
      <c r="R664" s="4"/>
      <c r="S664" s="12"/>
    </row>
    <row r="665" spans="1:19" x14ac:dyDescent="0.25">
      <c r="A665" s="9" t="s">
        <v>571</v>
      </c>
      <c r="B665" s="9" t="s">
        <v>291</v>
      </c>
      <c r="C665" s="4">
        <v>201000402</v>
      </c>
      <c r="D665" s="4" t="s">
        <v>587</v>
      </c>
      <c r="E665" s="4" t="str">
        <f>"007592010"</f>
        <v>007592010</v>
      </c>
      <c r="F665" s="10">
        <v>40116</v>
      </c>
      <c r="G665" s="11">
        <v>30000</v>
      </c>
      <c r="H665" s="11">
        <v>30000</v>
      </c>
      <c r="I665" s="4" t="s">
        <v>30</v>
      </c>
      <c r="J665" s="4" t="s">
        <v>31</v>
      </c>
      <c r="K665" s="11">
        <v>0</v>
      </c>
      <c r="L665" s="4"/>
      <c r="M665" s="4"/>
      <c r="N665" s="11">
        <v>0</v>
      </c>
      <c r="O665" s="4"/>
      <c r="P665" s="4"/>
      <c r="Q665" s="11">
        <v>0</v>
      </c>
      <c r="R665" s="4"/>
      <c r="S665" s="12"/>
    </row>
    <row r="666" spans="1:19" x14ac:dyDescent="0.25">
      <c r="A666" s="9" t="s">
        <v>571</v>
      </c>
      <c r="B666" s="9" t="s">
        <v>291</v>
      </c>
      <c r="C666" s="4">
        <v>201000432</v>
      </c>
      <c r="D666" s="4" t="s">
        <v>588</v>
      </c>
      <c r="E666" s="4" t="str">
        <f>"010502010"</f>
        <v>010502010</v>
      </c>
      <c r="F666" s="10">
        <v>40126</v>
      </c>
      <c r="G666" s="11">
        <v>120000</v>
      </c>
      <c r="H666" s="11">
        <v>120000</v>
      </c>
      <c r="I666" s="4" t="s">
        <v>72</v>
      </c>
      <c r="J666" s="4" t="s">
        <v>73</v>
      </c>
      <c r="K666" s="11">
        <v>0</v>
      </c>
      <c r="L666" s="4"/>
      <c r="M666" s="4"/>
      <c r="N666" s="11">
        <v>0</v>
      </c>
      <c r="O666" s="4"/>
      <c r="P666" s="4"/>
      <c r="Q666" s="11">
        <v>0</v>
      </c>
      <c r="R666" s="4"/>
      <c r="S666" s="12"/>
    </row>
    <row r="667" spans="1:19" x14ac:dyDescent="0.25">
      <c r="A667" s="9" t="s">
        <v>571</v>
      </c>
      <c r="B667" s="9" t="s">
        <v>291</v>
      </c>
      <c r="C667" s="4">
        <v>201000475</v>
      </c>
      <c r="D667" s="4" t="s">
        <v>589</v>
      </c>
      <c r="E667" s="4" t="str">
        <f>"008712010"</f>
        <v>008712010</v>
      </c>
      <c r="F667" s="10">
        <v>40120</v>
      </c>
      <c r="G667" s="11">
        <v>675000</v>
      </c>
      <c r="H667" s="11">
        <v>675000</v>
      </c>
      <c r="I667" s="4" t="s">
        <v>72</v>
      </c>
      <c r="J667" s="4" t="s">
        <v>73</v>
      </c>
      <c r="K667" s="11">
        <v>0</v>
      </c>
      <c r="L667" s="4"/>
      <c r="M667" s="4"/>
      <c r="N667" s="11">
        <v>0</v>
      </c>
      <c r="O667" s="4"/>
      <c r="P667" s="4"/>
      <c r="Q667" s="11">
        <v>0</v>
      </c>
      <c r="R667" s="4"/>
      <c r="S667" s="12"/>
    </row>
    <row r="668" spans="1:19" x14ac:dyDescent="0.25">
      <c r="A668" s="9" t="s">
        <v>571</v>
      </c>
      <c r="B668" s="9" t="s">
        <v>291</v>
      </c>
      <c r="C668" s="4">
        <v>201000548</v>
      </c>
      <c r="D668" s="4" t="s">
        <v>590</v>
      </c>
      <c r="E668" s="4" t="str">
        <f>"009852010"</f>
        <v>009852010</v>
      </c>
      <c r="F668" s="10">
        <v>40123</v>
      </c>
      <c r="G668" s="11">
        <v>500000</v>
      </c>
      <c r="H668" s="11">
        <v>500000</v>
      </c>
      <c r="I668" s="4" t="s">
        <v>72</v>
      </c>
      <c r="J668" s="4" t="s">
        <v>73</v>
      </c>
      <c r="K668" s="11">
        <v>0</v>
      </c>
      <c r="L668" s="4"/>
      <c r="M668" s="4"/>
      <c r="N668" s="11">
        <v>0</v>
      </c>
      <c r="O668" s="4"/>
      <c r="P668" s="4"/>
      <c r="Q668" s="11">
        <v>0</v>
      </c>
      <c r="R668" s="4"/>
      <c r="S668" s="12"/>
    </row>
    <row r="669" spans="1:19" x14ac:dyDescent="0.25">
      <c r="A669" s="9" t="s">
        <v>571</v>
      </c>
      <c r="B669" s="9" t="s">
        <v>291</v>
      </c>
      <c r="C669" s="4">
        <v>201000573</v>
      </c>
      <c r="D669" s="4" t="s">
        <v>591</v>
      </c>
      <c r="E669" s="4" t="str">
        <f>"010852010"</f>
        <v>010852010</v>
      </c>
      <c r="F669" s="10">
        <v>40126</v>
      </c>
      <c r="G669" s="11">
        <v>300000</v>
      </c>
      <c r="H669" s="11">
        <v>300000</v>
      </c>
      <c r="I669" s="4" t="s">
        <v>72</v>
      </c>
      <c r="J669" s="4" t="s">
        <v>73</v>
      </c>
      <c r="K669" s="11">
        <v>0</v>
      </c>
      <c r="L669" s="4"/>
      <c r="M669" s="4"/>
      <c r="N669" s="11">
        <v>0</v>
      </c>
      <c r="O669" s="4"/>
      <c r="P669" s="4"/>
      <c r="Q669" s="11">
        <v>0</v>
      </c>
      <c r="R669" s="4"/>
      <c r="S669" s="12"/>
    </row>
    <row r="670" spans="1:19" x14ac:dyDescent="0.25">
      <c r="A670" s="9" t="s">
        <v>571</v>
      </c>
      <c r="B670" s="9" t="s">
        <v>291</v>
      </c>
      <c r="C670" s="4">
        <v>201000629</v>
      </c>
      <c r="D670" s="4" t="s">
        <v>592</v>
      </c>
      <c r="E670" s="4" t="str">
        <f>"012892010"</f>
        <v>012892010</v>
      </c>
      <c r="F670" s="10">
        <v>40136</v>
      </c>
      <c r="G670" s="11">
        <v>50000</v>
      </c>
      <c r="H670" s="11">
        <v>50000</v>
      </c>
      <c r="I670" s="4" t="s">
        <v>472</v>
      </c>
      <c r="J670" s="4" t="s">
        <v>473</v>
      </c>
      <c r="K670" s="11">
        <v>0</v>
      </c>
      <c r="L670" s="4"/>
      <c r="M670" s="4"/>
      <c r="N670" s="11">
        <v>0</v>
      </c>
      <c r="O670" s="4"/>
      <c r="P670" s="4"/>
      <c r="Q670" s="11">
        <v>0</v>
      </c>
      <c r="R670" s="4"/>
      <c r="S670" s="12"/>
    </row>
    <row r="671" spans="1:19" x14ac:dyDescent="0.25">
      <c r="A671" s="9" t="s">
        <v>571</v>
      </c>
      <c r="B671" s="9" t="s">
        <v>291</v>
      </c>
      <c r="C671" s="4">
        <v>201000646</v>
      </c>
      <c r="D671" s="4" t="s">
        <v>2534</v>
      </c>
      <c r="E671" s="4" t="str">
        <f>"012632010"</f>
        <v>012632010</v>
      </c>
      <c r="F671" s="10">
        <v>40134</v>
      </c>
      <c r="G671" s="11">
        <v>2000</v>
      </c>
      <c r="H671" s="11">
        <v>0</v>
      </c>
      <c r="I671" s="4"/>
      <c r="J671" s="4"/>
      <c r="K671" s="11">
        <v>2000</v>
      </c>
      <c r="L671" s="4" t="s">
        <v>30</v>
      </c>
      <c r="M671" s="4" t="s">
        <v>31</v>
      </c>
      <c r="N671" s="11">
        <v>0</v>
      </c>
      <c r="O671" s="4"/>
      <c r="P671" s="4"/>
      <c r="Q671" s="11">
        <v>0</v>
      </c>
      <c r="R671" s="4"/>
      <c r="S671" s="12"/>
    </row>
    <row r="672" spans="1:19" x14ac:dyDescent="0.25">
      <c r="A672" s="9" t="s">
        <v>571</v>
      </c>
      <c r="B672" s="9" t="s">
        <v>291</v>
      </c>
      <c r="C672" s="4">
        <v>201000646</v>
      </c>
      <c r="D672" s="4" t="s">
        <v>593</v>
      </c>
      <c r="E672" s="4" t="str">
        <f>"012652010"</f>
        <v>012652010</v>
      </c>
      <c r="F672" s="10">
        <v>40134</v>
      </c>
      <c r="G672" s="11">
        <v>1000</v>
      </c>
      <c r="H672" s="11">
        <v>1000</v>
      </c>
      <c r="I672" s="4" t="s">
        <v>30</v>
      </c>
      <c r="J672" s="4" t="s">
        <v>31</v>
      </c>
      <c r="K672" s="11">
        <v>0</v>
      </c>
      <c r="L672" s="4"/>
      <c r="M672" s="4"/>
      <c r="N672" s="11">
        <v>0</v>
      </c>
      <c r="O672" s="4"/>
      <c r="P672" s="4"/>
      <c r="Q672" s="11">
        <v>0</v>
      </c>
      <c r="R672" s="4"/>
      <c r="S672" s="12"/>
    </row>
    <row r="673" spans="1:19" x14ac:dyDescent="0.25">
      <c r="A673" s="9" t="s">
        <v>571</v>
      </c>
      <c r="B673" s="9" t="s">
        <v>291</v>
      </c>
      <c r="C673" s="4">
        <v>201000705</v>
      </c>
      <c r="D673" s="4" t="s">
        <v>594</v>
      </c>
      <c r="E673" s="4" t="str">
        <f>"013292010"</f>
        <v>013292010</v>
      </c>
      <c r="F673" s="10">
        <v>40137</v>
      </c>
      <c r="G673" s="11">
        <v>70000</v>
      </c>
      <c r="H673" s="11">
        <v>70000</v>
      </c>
      <c r="I673" s="4" t="s">
        <v>72</v>
      </c>
      <c r="J673" s="4" t="s">
        <v>73</v>
      </c>
      <c r="K673" s="11">
        <v>0</v>
      </c>
      <c r="L673" s="4"/>
      <c r="M673" s="4"/>
      <c r="N673" s="11">
        <v>0</v>
      </c>
      <c r="O673" s="4"/>
      <c r="P673" s="4"/>
      <c r="Q673" s="11">
        <v>0</v>
      </c>
      <c r="R673" s="4"/>
      <c r="S673" s="12"/>
    </row>
    <row r="674" spans="1:19" x14ac:dyDescent="0.25">
      <c r="A674" s="9" t="s">
        <v>571</v>
      </c>
      <c r="B674" s="9" t="s">
        <v>291</v>
      </c>
      <c r="C674" s="4">
        <v>201000712</v>
      </c>
      <c r="D674" s="4" t="s">
        <v>595</v>
      </c>
      <c r="E674" s="4" t="str">
        <f>"013412010"</f>
        <v>013412010</v>
      </c>
      <c r="F674" s="10">
        <v>40137</v>
      </c>
      <c r="G674" s="11">
        <v>137500</v>
      </c>
      <c r="H674" s="11">
        <v>137500</v>
      </c>
      <c r="I674" s="4" t="s">
        <v>30</v>
      </c>
      <c r="J674" s="4" t="s">
        <v>31</v>
      </c>
      <c r="K674" s="11">
        <v>0</v>
      </c>
      <c r="L674" s="4"/>
      <c r="M674" s="4"/>
      <c r="N674" s="11">
        <v>0</v>
      </c>
      <c r="O674" s="4"/>
      <c r="P674" s="4"/>
      <c r="Q674" s="11">
        <v>0</v>
      </c>
      <c r="R674" s="4"/>
      <c r="S674" s="12"/>
    </row>
    <row r="675" spans="1:19" x14ac:dyDescent="0.25">
      <c r="A675" s="9" t="s">
        <v>571</v>
      </c>
      <c r="B675" s="9" t="s">
        <v>291</v>
      </c>
      <c r="C675" s="4">
        <v>201000722</v>
      </c>
      <c r="D675" s="4"/>
      <c r="E675" s="4" t="str">
        <f>"014262010"</f>
        <v>014262010</v>
      </c>
      <c r="F675" s="10">
        <v>40141</v>
      </c>
      <c r="G675" s="11">
        <v>830.08</v>
      </c>
      <c r="H675" s="11">
        <v>0</v>
      </c>
      <c r="I675" s="4"/>
      <c r="J675" s="4"/>
      <c r="K675" s="11">
        <v>0</v>
      </c>
      <c r="L675" s="4"/>
      <c r="M675" s="4"/>
      <c r="N675" s="11">
        <v>830.08</v>
      </c>
      <c r="O675" s="4" t="s">
        <v>56</v>
      </c>
      <c r="P675" s="4" t="s">
        <v>57</v>
      </c>
      <c r="Q675" s="11">
        <v>0</v>
      </c>
      <c r="R675" s="4"/>
      <c r="S675" s="12"/>
    </row>
    <row r="676" spans="1:19" x14ac:dyDescent="0.25">
      <c r="A676" s="9" t="s">
        <v>571</v>
      </c>
      <c r="B676" s="9" t="s">
        <v>291</v>
      </c>
      <c r="C676" s="4">
        <v>201000807</v>
      </c>
      <c r="D676" s="4" t="s">
        <v>596</v>
      </c>
      <c r="E676" s="4" t="str">
        <f>"017302010"</f>
        <v>017302010</v>
      </c>
      <c r="F676" s="10">
        <v>40149</v>
      </c>
      <c r="G676" s="11">
        <v>22500</v>
      </c>
      <c r="H676" s="11">
        <v>22500</v>
      </c>
      <c r="I676" s="4" t="s">
        <v>30</v>
      </c>
      <c r="J676" s="4" t="s">
        <v>31</v>
      </c>
      <c r="K676" s="11">
        <v>0</v>
      </c>
      <c r="L676" s="4"/>
      <c r="M676" s="4"/>
      <c r="N676" s="11">
        <v>0</v>
      </c>
      <c r="O676" s="4"/>
      <c r="P676" s="4"/>
      <c r="Q676" s="11">
        <v>0</v>
      </c>
      <c r="R676" s="4"/>
      <c r="S676" s="12"/>
    </row>
    <row r="677" spans="1:19" x14ac:dyDescent="0.25">
      <c r="A677" s="9" t="s">
        <v>571</v>
      </c>
      <c r="B677" s="9" t="s">
        <v>291</v>
      </c>
      <c r="C677" s="4">
        <v>201000815</v>
      </c>
      <c r="D677" s="4" t="s">
        <v>597</v>
      </c>
      <c r="E677" s="4" t="str">
        <f>"017242010"</f>
        <v>017242010</v>
      </c>
      <c r="F677" s="10">
        <v>40149</v>
      </c>
      <c r="G677" s="11">
        <v>824809.38</v>
      </c>
      <c r="H677" s="11">
        <v>824809.38</v>
      </c>
      <c r="I677" s="4" t="s">
        <v>72</v>
      </c>
      <c r="J677" s="4" t="s">
        <v>73</v>
      </c>
      <c r="K677" s="11">
        <v>0</v>
      </c>
      <c r="L677" s="4"/>
      <c r="M677" s="4"/>
      <c r="N677" s="11">
        <v>0</v>
      </c>
      <c r="O677" s="4"/>
      <c r="P677" s="4"/>
      <c r="Q677" s="11">
        <v>0</v>
      </c>
      <c r="R677" s="4"/>
      <c r="S677" s="12"/>
    </row>
    <row r="678" spans="1:19" x14ac:dyDescent="0.25">
      <c r="A678" s="9" t="s">
        <v>571</v>
      </c>
      <c r="B678" s="9" t="s">
        <v>291</v>
      </c>
      <c r="C678" s="4">
        <v>201000815</v>
      </c>
      <c r="D678" s="4" t="s">
        <v>597</v>
      </c>
      <c r="E678" s="4" t="str">
        <f>"017262010"</f>
        <v>017262010</v>
      </c>
      <c r="F678" s="10">
        <v>40149</v>
      </c>
      <c r="G678" s="11">
        <v>175190.62</v>
      </c>
      <c r="H678" s="11">
        <v>175190.62</v>
      </c>
      <c r="I678" s="4" t="s">
        <v>72</v>
      </c>
      <c r="J678" s="4" t="s">
        <v>73</v>
      </c>
      <c r="K678" s="11">
        <v>0</v>
      </c>
      <c r="L678" s="4"/>
      <c r="M678" s="4"/>
      <c r="N678" s="11">
        <v>0</v>
      </c>
      <c r="O678" s="4"/>
      <c r="P678" s="4"/>
      <c r="Q678" s="11">
        <v>0</v>
      </c>
      <c r="R678" s="4"/>
      <c r="S678" s="12"/>
    </row>
    <row r="679" spans="1:19" x14ac:dyDescent="0.25">
      <c r="A679" s="9" t="s">
        <v>571</v>
      </c>
      <c r="B679" s="9" t="s">
        <v>571</v>
      </c>
      <c r="C679" s="4">
        <v>201000852</v>
      </c>
      <c r="D679" s="4" t="s">
        <v>598</v>
      </c>
      <c r="E679" s="4" t="str">
        <f>"017802010"</f>
        <v>017802010</v>
      </c>
      <c r="F679" s="10">
        <v>40150</v>
      </c>
      <c r="G679" s="11">
        <v>12000</v>
      </c>
      <c r="H679" s="11">
        <v>12000</v>
      </c>
      <c r="I679" s="4" t="s">
        <v>68</v>
      </c>
      <c r="J679" s="4" t="s">
        <v>69</v>
      </c>
      <c r="K679" s="11">
        <v>0</v>
      </c>
      <c r="L679" s="4"/>
      <c r="M679" s="4"/>
      <c r="N679" s="11">
        <v>0</v>
      </c>
      <c r="O679" s="4"/>
      <c r="P679" s="4"/>
      <c r="Q679" s="11">
        <v>0</v>
      </c>
      <c r="R679" s="4"/>
      <c r="S679" s="12"/>
    </row>
    <row r="680" spans="1:19" x14ac:dyDescent="0.25">
      <c r="A680" s="9" t="s">
        <v>571</v>
      </c>
      <c r="B680" s="9" t="s">
        <v>291</v>
      </c>
      <c r="C680" s="4">
        <v>201000894</v>
      </c>
      <c r="D680" s="4" t="s">
        <v>599</v>
      </c>
      <c r="E680" s="4" t="str">
        <f>"022052010"</f>
        <v>022052010</v>
      </c>
      <c r="F680" s="10">
        <v>40161</v>
      </c>
      <c r="G680" s="11">
        <v>400000</v>
      </c>
      <c r="H680" s="11">
        <v>400000</v>
      </c>
      <c r="I680" s="4" t="s">
        <v>72</v>
      </c>
      <c r="J680" s="4" t="s">
        <v>73</v>
      </c>
      <c r="K680" s="11">
        <v>0</v>
      </c>
      <c r="L680" s="4"/>
      <c r="M680" s="4"/>
      <c r="N680" s="11">
        <v>0</v>
      </c>
      <c r="O680" s="4"/>
      <c r="P680" s="4"/>
      <c r="Q680" s="11">
        <v>0</v>
      </c>
      <c r="R680" s="4"/>
      <c r="S680" s="12"/>
    </row>
    <row r="681" spans="1:19" x14ac:dyDescent="0.25">
      <c r="A681" s="9" t="s">
        <v>571</v>
      </c>
      <c r="B681" s="9" t="s">
        <v>291</v>
      </c>
      <c r="C681" s="4">
        <v>201000915</v>
      </c>
      <c r="D681" s="4" t="s">
        <v>600</v>
      </c>
      <c r="E681" s="4" t="str">
        <f>"019272010"</f>
        <v>019272010</v>
      </c>
      <c r="F681" s="10">
        <v>40156</v>
      </c>
      <c r="G681" s="11">
        <v>50000</v>
      </c>
      <c r="H681" s="11">
        <v>50000</v>
      </c>
      <c r="I681" s="4" t="s">
        <v>72</v>
      </c>
      <c r="J681" s="4" t="s">
        <v>73</v>
      </c>
      <c r="K681" s="11">
        <v>0</v>
      </c>
      <c r="L681" s="4"/>
      <c r="M681" s="4"/>
      <c r="N681" s="11">
        <v>0</v>
      </c>
      <c r="O681" s="4"/>
      <c r="P681" s="4"/>
      <c r="Q681" s="11">
        <v>0</v>
      </c>
      <c r="R681" s="4"/>
      <c r="S681" s="12"/>
    </row>
    <row r="682" spans="1:19" x14ac:dyDescent="0.25">
      <c r="A682" s="9" t="s">
        <v>571</v>
      </c>
      <c r="B682" s="9" t="s">
        <v>291</v>
      </c>
      <c r="C682" s="4">
        <v>201000960</v>
      </c>
      <c r="D682" s="4" t="s">
        <v>601</v>
      </c>
      <c r="E682" s="4" t="str">
        <f>"018672010"</f>
        <v>018672010</v>
      </c>
      <c r="F682" s="10">
        <v>40154</v>
      </c>
      <c r="G682" s="11">
        <v>175000</v>
      </c>
      <c r="H682" s="11">
        <v>175000</v>
      </c>
      <c r="I682" s="4" t="s">
        <v>23</v>
      </c>
      <c r="J682" s="4" t="s">
        <v>24</v>
      </c>
      <c r="K682" s="11">
        <v>0</v>
      </c>
      <c r="L682" s="4"/>
      <c r="M682" s="4"/>
      <c r="N682" s="11">
        <v>0</v>
      </c>
      <c r="O682" s="4"/>
      <c r="P682" s="4"/>
      <c r="Q682" s="11">
        <v>0</v>
      </c>
      <c r="R682" s="4"/>
      <c r="S682" s="12"/>
    </row>
    <row r="683" spans="1:19" x14ac:dyDescent="0.25">
      <c r="A683" s="9" t="s">
        <v>571</v>
      </c>
      <c r="B683" s="9" t="s">
        <v>291</v>
      </c>
      <c r="C683" s="4">
        <v>201001070</v>
      </c>
      <c r="D683" s="4" t="s">
        <v>602</v>
      </c>
      <c r="E683" s="4" t="str">
        <f>"020782010"</f>
        <v>020782010</v>
      </c>
      <c r="F683" s="10">
        <v>40158</v>
      </c>
      <c r="G683" s="11">
        <v>2000</v>
      </c>
      <c r="H683" s="11">
        <v>2000</v>
      </c>
      <c r="I683" s="4" t="s">
        <v>68</v>
      </c>
      <c r="J683" s="4" t="s">
        <v>69</v>
      </c>
      <c r="K683" s="11">
        <v>0</v>
      </c>
      <c r="L683" s="4"/>
      <c r="M683" s="4"/>
      <c r="N683" s="11">
        <v>0</v>
      </c>
      <c r="O683" s="4"/>
      <c r="P683" s="4"/>
      <c r="Q683" s="11">
        <v>0</v>
      </c>
      <c r="R683" s="4"/>
      <c r="S683" s="12"/>
    </row>
    <row r="684" spans="1:19" x14ac:dyDescent="0.25">
      <c r="A684" s="9" t="s">
        <v>571</v>
      </c>
      <c r="B684" s="9" t="s">
        <v>291</v>
      </c>
      <c r="C684" s="4">
        <v>201001134</v>
      </c>
      <c r="D684" s="4" t="s">
        <v>603</v>
      </c>
      <c r="E684" s="4" t="str">
        <f>"022752010"</f>
        <v>022752010</v>
      </c>
      <c r="F684" s="10">
        <v>40165</v>
      </c>
      <c r="G684" s="11">
        <v>122500</v>
      </c>
      <c r="H684" s="11">
        <v>122500</v>
      </c>
      <c r="I684" s="4" t="s">
        <v>72</v>
      </c>
      <c r="J684" s="4" t="s">
        <v>73</v>
      </c>
      <c r="K684" s="11">
        <v>0</v>
      </c>
      <c r="L684" s="4"/>
      <c r="M684" s="4"/>
      <c r="N684" s="11">
        <v>0</v>
      </c>
      <c r="O684" s="4"/>
      <c r="P684" s="4"/>
      <c r="Q684" s="11">
        <v>0</v>
      </c>
      <c r="R684" s="4"/>
      <c r="S684" s="12"/>
    </row>
    <row r="685" spans="1:19" x14ac:dyDescent="0.25">
      <c r="A685" s="9" t="s">
        <v>571</v>
      </c>
      <c r="B685" s="9" t="s">
        <v>291</v>
      </c>
      <c r="C685" s="4">
        <v>201001151</v>
      </c>
      <c r="D685" s="4" t="s">
        <v>604</v>
      </c>
      <c r="E685" s="4" t="str">
        <f>"022092010"</f>
        <v>022092010</v>
      </c>
      <c r="F685" s="10">
        <v>40164</v>
      </c>
      <c r="G685" s="11">
        <v>6000</v>
      </c>
      <c r="H685" s="11">
        <v>6000</v>
      </c>
      <c r="I685" s="4" t="s">
        <v>72</v>
      </c>
      <c r="J685" s="4" t="s">
        <v>73</v>
      </c>
      <c r="K685" s="11">
        <v>0</v>
      </c>
      <c r="L685" s="4"/>
      <c r="M685" s="4"/>
      <c r="N685" s="11">
        <v>0</v>
      </c>
      <c r="O685" s="4"/>
      <c r="P685" s="4"/>
      <c r="Q685" s="11">
        <v>0</v>
      </c>
      <c r="R685" s="4"/>
      <c r="S685" s="12"/>
    </row>
    <row r="686" spans="1:19" x14ac:dyDescent="0.25">
      <c r="A686" s="9" t="s">
        <v>571</v>
      </c>
      <c r="B686" s="9" t="s">
        <v>291</v>
      </c>
      <c r="C686" s="4">
        <v>201001202</v>
      </c>
      <c r="D686" s="4" t="s">
        <v>605</v>
      </c>
      <c r="E686" s="4" t="str">
        <f>"024372010"</f>
        <v>024372010</v>
      </c>
      <c r="F686" s="10">
        <v>40177</v>
      </c>
      <c r="G686" s="11">
        <v>438000</v>
      </c>
      <c r="H686" s="11">
        <v>438000</v>
      </c>
      <c r="I686" s="4" t="s">
        <v>38</v>
      </c>
      <c r="J686" s="4" t="s">
        <v>39</v>
      </c>
      <c r="K686" s="11">
        <v>0</v>
      </c>
      <c r="L686" s="4"/>
      <c r="M686" s="4"/>
      <c r="N686" s="11">
        <v>0</v>
      </c>
      <c r="O686" s="4"/>
      <c r="P686" s="4"/>
      <c r="Q686" s="11">
        <v>0</v>
      </c>
      <c r="R686" s="4"/>
      <c r="S686" s="12"/>
    </row>
    <row r="687" spans="1:19" x14ac:dyDescent="0.25">
      <c r="A687" s="9" t="s">
        <v>571</v>
      </c>
      <c r="B687" s="9" t="s">
        <v>291</v>
      </c>
      <c r="C687" s="4">
        <v>201001203</v>
      </c>
      <c r="D687" s="4" t="s">
        <v>606</v>
      </c>
      <c r="E687" s="4" t="str">
        <f>"023732010"</f>
        <v>023732010</v>
      </c>
      <c r="F687" s="10">
        <v>40165</v>
      </c>
      <c r="G687" s="11">
        <v>10000</v>
      </c>
      <c r="H687" s="11">
        <v>10000</v>
      </c>
      <c r="I687" s="4" t="s">
        <v>72</v>
      </c>
      <c r="J687" s="4" t="s">
        <v>73</v>
      </c>
      <c r="K687" s="11">
        <v>0</v>
      </c>
      <c r="L687" s="4"/>
      <c r="M687" s="4"/>
      <c r="N687" s="11">
        <v>0</v>
      </c>
      <c r="O687" s="4"/>
      <c r="P687" s="4"/>
      <c r="Q687" s="11">
        <v>0</v>
      </c>
      <c r="R687" s="4"/>
      <c r="S687" s="12"/>
    </row>
    <row r="688" spans="1:19" x14ac:dyDescent="0.25">
      <c r="A688" s="9" t="s">
        <v>571</v>
      </c>
      <c r="B688" s="9" t="s">
        <v>291</v>
      </c>
      <c r="C688" s="4">
        <v>201001206</v>
      </c>
      <c r="D688" s="4"/>
      <c r="E688" s="4" t="str">
        <f>"023892010"</f>
        <v>023892010</v>
      </c>
      <c r="F688" s="10">
        <v>40170</v>
      </c>
      <c r="G688" s="11">
        <v>70000</v>
      </c>
      <c r="H688" s="11">
        <v>70000</v>
      </c>
      <c r="I688" s="4" t="s">
        <v>72</v>
      </c>
      <c r="J688" s="4" t="s">
        <v>73</v>
      </c>
      <c r="K688" s="11">
        <v>0</v>
      </c>
      <c r="L688" s="4"/>
      <c r="M688" s="4"/>
      <c r="N688" s="11">
        <v>0</v>
      </c>
      <c r="O688" s="4"/>
      <c r="P688" s="4"/>
      <c r="Q688" s="11">
        <v>0</v>
      </c>
      <c r="R688" s="4"/>
      <c r="S688" s="12"/>
    </row>
    <row r="689" spans="1:19" x14ac:dyDescent="0.25">
      <c r="A689" s="9" t="s">
        <v>571</v>
      </c>
      <c r="B689" s="9" t="s">
        <v>291</v>
      </c>
      <c r="C689" s="4">
        <v>201001217</v>
      </c>
      <c r="D689" s="4" t="s">
        <v>607</v>
      </c>
      <c r="E689" s="4" t="str">
        <f>"024172010"</f>
        <v>024172010</v>
      </c>
      <c r="F689" s="10">
        <v>40171</v>
      </c>
      <c r="G689" s="11">
        <v>250000</v>
      </c>
      <c r="H689" s="11">
        <v>250000</v>
      </c>
      <c r="I689" s="4" t="s">
        <v>72</v>
      </c>
      <c r="J689" s="4" t="s">
        <v>73</v>
      </c>
      <c r="K689" s="11">
        <v>0</v>
      </c>
      <c r="L689" s="4"/>
      <c r="M689" s="4"/>
      <c r="N689" s="11">
        <v>0</v>
      </c>
      <c r="O689" s="4"/>
      <c r="P689" s="4"/>
      <c r="Q689" s="11">
        <v>0</v>
      </c>
      <c r="R689" s="4"/>
      <c r="S689" s="12"/>
    </row>
    <row r="690" spans="1:19" x14ac:dyDescent="0.25">
      <c r="A690" s="9" t="s">
        <v>571</v>
      </c>
      <c r="B690" s="9" t="s">
        <v>291</v>
      </c>
      <c r="C690" s="4">
        <v>201001219</v>
      </c>
      <c r="D690" s="4" t="s">
        <v>608</v>
      </c>
      <c r="E690" s="4" t="str">
        <f>"024152010"</f>
        <v>024152010</v>
      </c>
      <c r="F690" s="10">
        <v>40170</v>
      </c>
      <c r="G690" s="11">
        <v>18596383</v>
      </c>
      <c r="H690" s="11">
        <v>18596383</v>
      </c>
      <c r="I690" s="4" t="s">
        <v>123</v>
      </c>
      <c r="J690" s="4" t="s">
        <v>124</v>
      </c>
      <c r="K690" s="11">
        <v>0</v>
      </c>
      <c r="L690" s="4"/>
      <c r="M690" s="4"/>
      <c r="N690" s="11">
        <v>0</v>
      </c>
      <c r="O690" s="4"/>
      <c r="P690" s="4"/>
      <c r="Q690" s="11">
        <v>0</v>
      </c>
      <c r="R690" s="4"/>
      <c r="S690" s="12"/>
    </row>
    <row r="691" spans="1:19" x14ac:dyDescent="0.25">
      <c r="A691" s="9" t="s">
        <v>571</v>
      </c>
      <c r="B691" s="9" t="s">
        <v>291</v>
      </c>
      <c r="C691" s="4">
        <v>201001241</v>
      </c>
      <c r="D691" s="4" t="s">
        <v>609</v>
      </c>
      <c r="E691" s="4" t="str">
        <f>"027192010"</f>
        <v>027192010</v>
      </c>
      <c r="F691" s="10">
        <v>40185</v>
      </c>
      <c r="G691" s="11">
        <v>115000</v>
      </c>
      <c r="H691" s="11">
        <v>115000</v>
      </c>
      <c r="I691" s="4" t="s">
        <v>72</v>
      </c>
      <c r="J691" s="4" t="s">
        <v>73</v>
      </c>
      <c r="K691" s="11">
        <v>0</v>
      </c>
      <c r="L691" s="4"/>
      <c r="M691" s="4"/>
      <c r="N691" s="11">
        <v>0</v>
      </c>
      <c r="O691" s="4"/>
      <c r="P691" s="4"/>
      <c r="Q691" s="11">
        <v>0</v>
      </c>
      <c r="R691" s="4"/>
      <c r="S691" s="12"/>
    </row>
    <row r="692" spans="1:19" x14ac:dyDescent="0.25">
      <c r="A692" s="9" t="s">
        <v>571</v>
      </c>
      <c r="B692" s="9" t="s">
        <v>291</v>
      </c>
      <c r="C692" s="4">
        <v>201001271</v>
      </c>
      <c r="D692" s="4" t="s">
        <v>610</v>
      </c>
      <c r="E692" s="4" t="str">
        <f>"031762010"</f>
        <v>031762010</v>
      </c>
      <c r="F692" s="10">
        <v>40199</v>
      </c>
      <c r="G692" s="11">
        <v>20000</v>
      </c>
      <c r="H692" s="11">
        <v>20000</v>
      </c>
      <c r="I692" s="4" t="s">
        <v>30</v>
      </c>
      <c r="J692" s="4" t="s">
        <v>31</v>
      </c>
      <c r="K692" s="11">
        <v>0</v>
      </c>
      <c r="L692" s="4"/>
      <c r="M692" s="4"/>
      <c r="N692" s="11">
        <v>0</v>
      </c>
      <c r="O692" s="4"/>
      <c r="P692" s="4"/>
      <c r="Q692" s="11">
        <v>0</v>
      </c>
      <c r="R692" s="4"/>
      <c r="S692" s="12"/>
    </row>
    <row r="693" spans="1:19" x14ac:dyDescent="0.25">
      <c r="A693" s="9" t="s">
        <v>571</v>
      </c>
      <c r="B693" s="9" t="s">
        <v>291</v>
      </c>
      <c r="C693" s="4">
        <v>201001281</v>
      </c>
      <c r="D693" s="4" t="s">
        <v>611</v>
      </c>
      <c r="E693" s="4" t="str">
        <f>"024872010"</f>
        <v>024872010</v>
      </c>
      <c r="F693" s="10">
        <v>40177</v>
      </c>
      <c r="G693" s="11">
        <v>375000</v>
      </c>
      <c r="H693" s="11">
        <v>375000</v>
      </c>
      <c r="I693" s="4" t="s">
        <v>72</v>
      </c>
      <c r="J693" s="4" t="s">
        <v>73</v>
      </c>
      <c r="K693" s="11">
        <v>0</v>
      </c>
      <c r="L693" s="4"/>
      <c r="M693" s="4"/>
      <c r="N693" s="11">
        <v>0</v>
      </c>
      <c r="O693" s="4"/>
      <c r="P693" s="4"/>
      <c r="Q693" s="11">
        <v>0</v>
      </c>
      <c r="R693" s="4"/>
      <c r="S693" s="12"/>
    </row>
    <row r="694" spans="1:19" x14ac:dyDescent="0.25">
      <c r="A694" s="9" t="s">
        <v>571</v>
      </c>
      <c r="B694" s="9" t="s">
        <v>291</v>
      </c>
      <c r="C694" s="4">
        <v>201001321</v>
      </c>
      <c r="D694" s="4" t="s">
        <v>612</v>
      </c>
      <c r="E694" s="4" t="str">
        <f>"025452010"</f>
        <v>025452010</v>
      </c>
      <c r="F694" s="10">
        <v>40177</v>
      </c>
      <c r="G694" s="11">
        <v>300000</v>
      </c>
      <c r="H694" s="11">
        <v>300000</v>
      </c>
      <c r="I694" s="4" t="s">
        <v>72</v>
      </c>
      <c r="J694" s="4" t="s">
        <v>73</v>
      </c>
      <c r="K694" s="11">
        <v>0</v>
      </c>
      <c r="L694" s="4"/>
      <c r="M694" s="4"/>
      <c r="N694" s="11">
        <v>0</v>
      </c>
      <c r="O694" s="4"/>
      <c r="P694" s="4"/>
      <c r="Q694" s="11">
        <v>0</v>
      </c>
      <c r="R694" s="4"/>
      <c r="S694" s="12"/>
    </row>
    <row r="695" spans="1:19" x14ac:dyDescent="0.25">
      <c r="A695" s="9" t="s">
        <v>571</v>
      </c>
      <c r="B695" s="9" t="s">
        <v>291</v>
      </c>
      <c r="C695" s="4">
        <v>201001326</v>
      </c>
      <c r="D695" s="4" t="s">
        <v>613</v>
      </c>
      <c r="E695" s="4" t="str">
        <f>"025612010"</f>
        <v>025612010</v>
      </c>
      <c r="F695" s="10">
        <v>40183</v>
      </c>
      <c r="G695" s="11">
        <v>10000</v>
      </c>
      <c r="H695" s="11">
        <v>10000</v>
      </c>
      <c r="I695" s="4" t="s">
        <v>23</v>
      </c>
      <c r="J695" s="4" t="s">
        <v>24</v>
      </c>
      <c r="K695" s="11">
        <v>0</v>
      </c>
      <c r="L695" s="4"/>
      <c r="M695" s="4"/>
      <c r="N695" s="11">
        <v>0</v>
      </c>
      <c r="O695" s="4"/>
      <c r="P695" s="4"/>
      <c r="Q695" s="11">
        <v>0</v>
      </c>
      <c r="R695" s="4"/>
      <c r="S695" s="12"/>
    </row>
    <row r="696" spans="1:19" x14ac:dyDescent="0.25">
      <c r="A696" s="9" t="s">
        <v>571</v>
      </c>
      <c r="B696" s="9" t="s">
        <v>291</v>
      </c>
      <c r="C696" s="4">
        <v>201001396</v>
      </c>
      <c r="D696" s="4" t="s">
        <v>614</v>
      </c>
      <c r="E696" s="4" t="str">
        <f>"027252010"</f>
        <v>027252010</v>
      </c>
      <c r="F696" s="10">
        <v>40185</v>
      </c>
      <c r="G696" s="11">
        <v>75000</v>
      </c>
      <c r="H696" s="11">
        <v>75000</v>
      </c>
      <c r="I696" s="4" t="s">
        <v>72</v>
      </c>
      <c r="J696" s="4" t="s">
        <v>73</v>
      </c>
      <c r="K696" s="11">
        <v>0</v>
      </c>
      <c r="L696" s="4"/>
      <c r="M696" s="4"/>
      <c r="N696" s="11">
        <v>0</v>
      </c>
      <c r="O696" s="4"/>
      <c r="P696" s="4"/>
      <c r="Q696" s="11">
        <v>0</v>
      </c>
      <c r="R696" s="4"/>
      <c r="S696" s="12"/>
    </row>
    <row r="697" spans="1:19" x14ac:dyDescent="0.25">
      <c r="A697" s="9" t="s">
        <v>571</v>
      </c>
      <c r="B697" s="9" t="s">
        <v>291</v>
      </c>
      <c r="C697" s="4">
        <v>201001402</v>
      </c>
      <c r="D697" s="4" t="s">
        <v>615</v>
      </c>
      <c r="E697" s="4" t="str">
        <f>"027032010"</f>
        <v>027032010</v>
      </c>
      <c r="F697" s="10">
        <v>40185</v>
      </c>
      <c r="G697" s="11">
        <v>135000</v>
      </c>
      <c r="H697" s="11">
        <v>135000</v>
      </c>
      <c r="I697" s="4" t="s">
        <v>72</v>
      </c>
      <c r="J697" s="4" t="s">
        <v>73</v>
      </c>
      <c r="K697" s="11">
        <v>0</v>
      </c>
      <c r="L697" s="4"/>
      <c r="M697" s="4"/>
      <c r="N697" s="11">
        <v>0</v>
      </c>
      <c r="O697" s="4"/>
      <c r="P697" s="4"/>
      <c r="Q697" s="11">
        <v>0</v>
      </c>
      <c r="R697" s="4"/>
      <c r="S697" s="12"/>
    </row>
    <row r="698" spans="1:19" x14ac:dyDescent="0.25">
      <c r="A698" s="9" t="s">
        <v>571</v>
      </c>
      <c r="B698" s="9" t="s">
        <v>291</v>
      </c>
      <c r="C698" s="4">
        <v>201001415</v>
      </c>
      <c r="D698" s="4" t="s">
        <v>616</v>
      </c>
      <c r="E698" s="4" t="str">
        <f>"027922010"</f>
        <v>027922010</v>
      </c>
      <c r="F698" s="10">
        <v>40185</v>
      </c>
      <c r="G698" s="11">
        <v>75000</v>
      </c>
      <c r="H698" s="11">
        <v>75000</v>
      </c>
      <c r="I698" s="4" t="s">
        <v>72</v>
      </c>
      <c r="J698" s="4" t="s">
        <v>73</v>
      </c>
      <c r="K698" s="11">
        <v>0</v>
      </c>
      <c r="L698" s="4"/>
      <c r="M698" s="4"/>
      <c r="N698" s="11">
        <v>0</v>
      </c>
      <c r="O698" s="4"/>
      <c r="P698" s="4"/>
      <c r="Q698" s="11">
        <v>0</v>
      </c>
      <c r="R698" s="4"/>
      <c r="S698" s="12"/>
    </row>
    <row r="699" spans="1:19" x14ac:dyDescent="0.25">
      <c r="A699" s="9" t="s">
        <v>571</v>
      </c>
      <c r="B699" s="9" t="s">
        <v>291</v>
      </c>
      <c r="C699" s="4">
        <v>201001457</v>
      </c>
      <c r="D699" s="4" t="s">
        <v>617</v>
      </c>
      <c r="E699" s="4" t="str">
        <f>"033082010"</f>
        <v>033082010</v>
      </c>
      <c r="F699" s="10">
        <v>40200</v>
      </c>
      <c r="G699" s="11">
        <v>20000</v>
      </c>
      <c r="H699" s="11">
        <v>20000</v>
      </c>
      <c r="I699" s="4" t="s">
        <v>68</v>
      </c>
      <c r="J699" s="4" t="s">
        <v>69</v>
      </c>
      <c r="K699" s="11">
        <v>0</v>
      </c>
      <c r="L699" s="4"/>
      <c r="M699" s="4"/>
      <c r="N699" s="11">
        <v>0</v>
      </c>
      <c r="O699" s="4"/>
      <c r="P699" s="4"/>
      <c r="Q699" s="11">
        <v>0</v>
      </c>
      <c r="R699" s="4"/>
      <c r="S699" s="12"/>
    </row>
    <row r="700" spans="1:19" x14ac:dyDescent="0.25">
      <c r="A700" s="9" t="s">
        <v>571</v>
      </c>
      <c r="B700" s="9" t="s">
        <v>291</v>
      </c>
      <c r="C700" s="4">
        <v>201001636</v>
      </c>
      <c r="D700" s="4" t="s">
        <v>618</v>
      </c>
      <c r="E700" s="4" t="str">
        <f>"036442010"</f>
        <v>036442010</v>
      </c>
      <c r="F700" s="10">
        <v>40213</v>
      </c>
      <c r="G700" s="11">
        <v>3800000</v>
      </c>
      <c r="H700" s="11">
        <v>3800000</v>
      </c>
      <c r="I700" s="4" t="s">
        <v>72</v>
      </c>
      <c r="J700" s="4" t="s">
        <v>73</v>
      </c>
      <c r="K700" s="11">
        <v>0</v>
      </c>
      <c r="L700" s="4"/>
      <c r="M700" s="4"/>
      <c r="N700" s="11">
        <v>0</v>
      </c>
      <c r="O700" s="4"/>
      <c r="P700" s="4"/>
      <c r="Q700" s="11">
        <v>0</v>
      </c>
      <c r="R700" s="4"/>
      <c r="S700" s="12"/>
    </row>
    <row r="701" spans="1:19" x14ac:dyDescent="0.25">
      <c r="A701" s="9" t="s">
        <v>571</v>
      </c>
      <c r="B701" s="9" t="s">
        <v>291</v>
      </c>
      <c r="C701" s="4">
        <v>201001714</v>
      </c>
      <c r="D701" s="4" t="s">
        <v>619</v>
      </c>
      <c r="E701" s="4" t="str">
        <f>"036162010"</f>
        <v>036162010</v>
      </c>
      <c r="F701" s="10">
        <v>40213</v>
      </c>
      <c r="G701" s="11">
        <v>80000</v>
      </c>
      <c r="H701" s="11">
        <v>80000</v>
      </c>
      <c r="I701" s="4" t="s">
        <v>23</v>
      </c>
      <c r="J701" s="4" t="s">
        <v>24</v>
      </c>
      <c r="K701" s="11">
        <v>0</v>
      </c>
      <c r="L701" s="4"/>
      <c r="M701" s="4"/>
      <c r="N701" s="11">
        <v>0</v>
      </c>
      <c r="O701" s="4"/>
      <c r="P701" s="4"/>
      <c r="Q701" s="11">
        <v>0</v>
      </c>
      <c r="R701" s="4"/>
      <c r="S701" s="12"/>
    </row>
    <row r="702" spans="1:19" x14ac:dyDescent="0.25">
      <c r="A702" s="9" t="s">
        <v>571</v>
      </c>
      <c r="B702" s="9" t="s">
        <v>291</v>
      </c>
      <c r="C702" s="4">
        <v>201001716</v>
      </c>
      <c r="D702" s="4" t="s">
        <v>620</v>
      </c>
      <c r="E702" s="4" t="str">
        <f>"033502010"</f>
        <v>033502010</v>
      </c>
      <c r="F702" s="10">
        <v>40204</v>
      </c>
      <c r="G702" s="11">
        <v>10000</v>
      </c>
      <c r="H702" s="11">
        <v>10000</v>
      </c>
      <c r="I702" s="4" t="s">
        <v>30</v>
      </c>
      <c r="J702" s="4" t="s">
        <v>31</v>
      </c>
      <c r="K702" s="11">
        <v>0</v>
      </c>
      <c r="L702" s="4"/>
      <c r="M702" s="4"/>
      <c r="N702" s="11">
        <v>0</v>
      </c>
      <c r="O702" s="4"/>
      <c r="P702" s="4"/>
      <c r="Q702" s="11">
        <v>0</v>
      </c>
      <c r="R702" s="4"/>
      <c r="S702" s="12"/>
    </row>
    <row r="703" spans="1:19" x14ac:dyDescent="0.25">
      <c r="A703" s="9" t="s">
        <v>571</v>
      </c>
      <c r="B703" s="9" t="s">
        <v>291</v>
      </c>
      <c r="C703" s="4">
        <v>201001747</v>
      </c>
      <c r="D703" s="4" t="s">
        <v>621</v>
      </c>
      <c r="E703" s="4" t="str">
        <f>"034792010"</f>
        <v>034792010</v>
      </c>
      <c r="F703" s="10">
        <v>40212</v>
      </c>
      <c r="G703" s="11">
        <v>150000</v>
      </c>
      <c r="H703" s="11">
        <v>150000</v>
      </c>
      <c r="I703" s="4" t="s">
        <v>72</v>
      </c>
      <c r="J703" s="4" t="s">
        <v>73</v>
      </c>
      <c r="K703" s="11">
        <v>0</v>
      </c>
      <c r="L703" s="4"/>
      <c r="M703" s="4"/>
      <c r="N703" s="11">
        <v>0</v>
      </c>
      <c r="O703" s="4"/>
      <c r="P703" s="4"/>
      <c r="Q703" s="11">
        <v>0</v>
      </c>
      <c r="R703" s="4"/>
      <c r="S703" s="12"/>
    </row>
    <row r="704" spans="1:19" x14ac:dyDescent="0.25">
      <c r="A704" s="9" t="s">
        <v>571</v>
      </c>
      <c r="B704" s="9" t="s">
        <v>291</v>
      </c>
      <c r="C704" s="4">
        <v>201001756</v>
      </c>
      <c r="D704" s="4" t="s">
        <v>622</v>
      </c>
      <c r="E704" s="4" t="str">
        <f>"034182010"</f>
        <v>034182010</v>
      </c>
      <c r="F704" s="10">
        <v>40205</v>
      </c>
      <c r="G704" s="11">
        <v>218500</v>
      </c>
      <c r="H704" s="11">
        <v>218500</v>
      </c>
      <c r="I704" s="4" t="s">
        <v>72</v>
      </c>
      <c r="J704" s="4" t="s">
        <v>73</v>
      </c>
      <c r="K704" s="11">
        <v>0</v>
      </c>
      <c r="L704" s="4"/>
      <c r="M704" s="4"/>
      <c r="N704" s="11">
        <v>0</v>
      </c>
      <c r="O704" s="4"/>
      <c r="P704" s="4"/>
      <c r="Q704" s="11">
        <v>0</v>
      </c>
      <c r="R704" s="4"/>
      <c r="S704" s="12"/>
    </row>
    <row r="705" spans="1:19" x14ac:dyDescent="0.25">
      <c r="A705" s="9" t="s">
        <v>571</v>
      </c>
      <c r="B705" s="9" t="s">
        <v>291</v>
      </c>
      <c r="C705" s="4">
        <v>201001797</v>
      </c>
      <c r="D705" s="4" t="s">
        <v>623</v>
      </c>
      <c r="E705" s="4" t="str">
        <f>"034852010"</f>
        <v>034852010</v>
      </c>
      <c r="F705" s="10">
        <v>40212</v>
      </c>
      <c r="G705" s="11">
        <v>225000</v>
      </c>
      <c r="H705" s="11">
        <v>225000</v>
      </c>
      <c r="I705" s="4" t="s">
        <v>72</v>
      </c>
      <c r="J705" s="4" t="s">
        <v>73</v>
      </c>
      <c r="K705" s="11">
        <v>0</v>
      </c>
      <c r="L705" s="4"/>
      <c r="M705" s="4"/>
      <c r="N705" s="11">
        <v>0</v>
      </c>
      <c r="O705" s="4"/>
      <c r="P705" s="4"/>
      <c r="Q705" s="11">
        <v>0</v>
      </c>
      <c r="R705" s="4"/>
      <c r="S705" s="12"/>
    </row>
    <row r="706" spans="1:19" x14ac:dyDescent="0.25">
      <c r="A706" s="9" t="s">
        <v>571</v>
      </c>
      <c r="B706" s="9" t="s">
        <v>291</v>
      </c>
      <c r="C706" s="4">
        <v>201001812</v>
      </c>
      <c r="D706" s="4" t="s">
        <v>624</v>
      </c>
      <c r="E706" s="4" t="str">
        <f>"044362010"</f>
        <v>044362010</v>
      </c>
      <c r="F706" s="10">
        <v>40245</v>
      </c>
      <c r="G706" s="11">
        <v>150000</v>
      </c>
      <c r="H706" s="11">
        <v>150000</v>
      </c>
      <c r="I706" s="4" t="s">
        <v>72</v>
      </c>
      <c r="J706" s="4" t="s">
        <v>73</v>
      </c>
      <c r="K706" s="11">
        <v>0</v>
      </c>
      <c r="L706" s="4"/>
      <c r="M706" s="4"/>
      <c r="N706" s="11">
        <v>0</v>
      </c>
      <c r="O706" s="4"/>
      <c r="P706" s="4"/>
      <c r="Q706" s="11">
        <v>0</v>
      </c>
      <c r="R706" s="4"/>
      <c r="S706" s="12"/>
    </row>
    <row r="707" spans="1:19" x14ac:dyDescent="0.25">
      <c r="A707" s="9" t="s">
        <v>571</v>
      </c>
      <c r="B707" s="9" t="s">
        <v>291</v>
      </c>
      <c r="C707" s="4">
        <v>201001877</v>
      </c>
      <c r="D707" s="4" t="s">
        <v>625</v>
      </c>
      <c r="E707" s="4" t="str">
        <f>"036422010"</f>
        <v>036422010</v>
      </c>
      <c r="F707" s="10">
        <v>40213</v>
      </c>
      <c r="G707" s="11">
        <v>15000</v>
      </c>
      <c r="H707" s="11">
        <v>0</v>
      </c>
      <c r="I707" s="4"/>
      <c r="J707" s="4"/>
      <c r="K707" s="11">
        <v>15000</v>
      </c>
      <c r="L707" s="4" t="s">
        <v>72</v>
      </c>
      <c r="M707" s="4" t="s">
        <v>73</v>
      </c>
      <c r="N707" s="11">
        <v>0</v>
      </c>
      <c r="O707" s="4"/>
      <c r="P707" s="4"/>
      <c r="Q707" s="11">
        <v>0</v>
      </c>
      <c r="R707" s="4"/>
      <c r="S707" s="12"/>
    </row>
    <row r="708" spans="1:19" x14ac:dyDescent="0.25">
      <c r="A708" s="9" t="s">
        <v>571</v>
      </c>
      <c r="B708" s="9" t="s">
        <v>291</v>
      </c>
      <c r="C708" s="4">
        <v>201001877</v>
      </c>
      <c r="D708" s="4" t="s">
        <v>625</v>
      </c>
      <c r="E708" s="4" t="str">
        <f>"036342010"</f>
        <v>036342010</v>
      </c>
      <c r="F708" s="10">
        <v>40213</v>
      </c>
      <c r="G708" s="11">
        <v>7500</v>
      </c>
      <c r="H708" s="11">
        <v>7500</v>
      </c>
      <c r="I708" s="4" t="s">
        <v>72</v>
      </c>
      <c r="J708" s="4" t="s">
        <v>73</v>
      </c>
      <c r="K708" s="11">
        <v>0</v>
      </c>
      <c r="L708" s="4"/>
      <c r="M708" s="4"/>
      <c r="N708" s="11">
        <v>0</v>
      </c>
      <c r="O708" s="4"/>
      <c r="P708" s="4"/>
      <c r="Q708" s="11">
        <v>0</v>
      </c>
      <c r="R708" s="4"/>
      <c r="S708" s="12"/>
    </row>
    <row r="709" spans="1:19" x14ac:dyDescent="0.25">
      <c r="A709" s="9" t="s">
        <v>571</v>
      </c>
      <c r="B709" s="9" t="s">
        <v>291</v>
      </c>
      <c r="C709" s="4">
        <v>201001877</v>
      </c>
      <c r="D709" s="4" t="s">
        <v>625</v>
      </c>
      <c r="E709" s="4" t="str">
        <f>"036362010"</f>
        <v>036362010</v>
      </c>
      <c r="F709" s="10">
        <v>40213</v>
      </c>
      <c r="G709" s="11">
        <v>15000</v>
      </c>
      <c r="H709" s="11">
        <v>15000</v>
      </c>
      <c r="I709" s="4" t="s">
        <v>72</v>
      </c>
      <c r="J709" s="4" t="s">
        <v>73</v>
      </c>
      <c r="K709" s="11">
        <v>0</v>
      </c>
      <c r="L709" s="4"/>
      <c r="M709" s="4"/>
      <c r="N709" s="11">
        <v>0</v>
      </c>
      <c r="O709" s="4"/>
      <c r="P709" s="4"/>
      <c r="Q709" s="11">
        <v>0</v>
      </c>
      <c r="R709" s="4"/>
      <c r="S709" s="12"/>
    </row>
    <row r="710" spans="1:19" x14ac:dyDescent="0.25">
      <c r="A710" s="9" t="s">
        <v>571</v>
      </c>
      <c r="B710" s="9" t="s">
        <v>291</v>
      </c>
      <c r="C710" s="4">
        <v>201001877</v>
      </c>
      <c r="D710" s="4" t="s">
        <v>625</v>
      </c>
      <c r="E710" s="4" t="str">
        <f>"036382010"</f>
        <v>036382010</v>
      </c>
      <c r="F710" s="10">
        <v>40213</v>
      </c>
      <c r="G710" s="11">
        <v>11250</v>
      </c>
      <c r="H710" s="11">
        <v>11250</v>
      </c>
      <c r="I710" s="4" t="s">
        <v>72</v>
      </c>
      <c r="J710" s="4" t="s">
        <v>73</v>
      </c>
      <c r="K710" s="11">
        <v>0</v>
      </c>
      <c r="L710" s="4"/>
      <c r="M710" s="4"/>
      <c r="N710" s="11">
        <v>0</v>
      </c>
      <c r="O710" s="4"/>
      <c r="P710" s="4"/>
      <c r="Q710" s="11">
        <v>0</v>
      </c>
      <c r="R710" s="4"/>
      <c r="S710" s="12"/>
    </row>
    <row r="711" spans="1:19" x14ac:dyDescent="0.25">
      <c r="A711" s="9" t="s">
        <v>571</v>
      </c>
      <c r="B711" s="9" t="s">
        <v>291</v>
      </c>
      <c r="C711" s="4">
        <v>201001877</v>
      </c>
      <c r="D711" s="4" t="s">
        <v>625</v>
      </c>
      <c r="E711" s="4" t="str">
        <f>"036402010"</f>
        <v>036402010</v>
      </c>
      <c r="F711" s="10">
        <v>40213</v>
      </c>
      <c r="G711" s="11">
        <v>11250</v>
      </c>
      <c r="H711" s="11">
        <v>11250</v>
      </c>
      <c r="I711" s="4" t="s">
        <v>72</v>
      </c>
      <c r="J711" s="4" t="s">
        <v>73</v>
      </c>
      <c r="K711" s="11">
        <v>0</v>
      </c>
      <c r="L711" s="4"/>
      <c r="M711" s="4"/>
      <c r="N711" s="11">
        <v>0</v>
      </c>
      <c r="O711" s="4"/>
      <c r="P711" s="4"/>
      <c r="Q711" s="11">
        <v>0</v>
      </c>
      <c r="R711" s="4"/>
      <c r="S711" s="12"/>
    </row>
    <row r="712" spans="1:19" x14ac:dyDescent="0.25">
      <c r="A712" s="9" t="s">
        <v>571</v>
      </c>
      <c r="B712" s="9" t="s">
        <v>291</v>
      </c>
      <c r="C712" s="4">
        <v>201001886</v>
      </c>
      <c r="D712" s="4" t="s">
        <v>626</v>
      </c>
      <c r="E712" s="4" t="str">
        <f>"040642010"</f>
        <v>040642010</v>
      </c>
      <c r="F712" s="10">
        <v>40234</v>
      </c>
      <c r="G712" s="11">
        <v>75000</v>
      </c>
      <c r="H712" s="11">
        <v>75000</v>
      </c>
      <c r="I712" s="4" t="s">
        <v>68</v>
      </c>
      <c r="J712" s="4" t="s">
        <v>69</v>
      </c>
      <c r="K712" s="11">
        <v>0</v>
      </c>
      <c r="L712" s="4"/>
      <c r="M712" s="4"/>
      <c r="N712" s="11">
        <v>0</v>
      </c>
      <c r="O712" s="4"/>
      <c r="P712" s="4"/>
      <c r="Q712" s="11">
        <v>0</v>
      </c>
      <c r="R712" s="4"/>
      <c r="S712" s="12"/>
    </row>
    <row r="713" spans="1:19" x14ac:dyDescent="0.25">
      <c r="A713" s="9" t="s">
        <v>571</v>
      </c>
      <c r="B713" s="9" t="s">
        <v>291</v>
      </c>
      <c r="C713" s="4">
        <v>201001901</v>
      </c>
      <c r="D713" s="4" t="s">
        <v>627</v>
      </c>
      <c r="E713" s="4" t="str">
        <f>"036902010"</f>
        <v>036902010</v>
      </c>
      <c r="F713" s="10">
        <v>40214</v>
      </c>
      <c r="G713" s="11">
        <v>35000</v>
      </c>
      <c r="H713" s="11">
        <v>35000</v>
      </c>
      <c r="I713" s="4" t="s">
        <v>72</v>
      </c>
      <c r="J713" s="4" t="s">
        <v>73</v>
      </c>
      <c r="K713" s="11">
        <v>0</v>
      </c>
      <c r="L713" s="4"/>
      <c r="M713" s="4"/>
      <c r="N713" s="11">
        <v>0</v>
      </c>
      <c r="O713" s="4"/>
      <c r="P713" s="4"/>
      <c r="Q713" s="11">
        <v>0</v>
      </c>
      <c r="R713" s="4"/>
      <c r="S713" s="12"/>
    </row>
    <row r="714" spans="1:19" x14ac:dyDescent="0.25">
      <c r="A714" s="9" t="s">
        <v>571</v>
      </c>
      <c r="B714" s="9" t="s">
        <v>291</v>
      </c>
      <c r="C714" s="4">
        <v>201001901</v>
      </c>
      <c r="D714" s="4" t="s">
        <v>627</v>
      </c>
      <c r="E714" s="4" t="str">
        <f>"036922010"</f>
        <v>036922010</v>
      </c>
      <c r="F714" s="10">
        <v>40227</v>
      </c>
      <c r="G714" s="11">
        <v>17000</v>
      </c>
      <c r="H714" s="11">
        <v>17000</v>
      </c>
      <c r="I714" s="4" t="s">
        <v>72</v>
      </c>
      <c r="J714" s="4" t="s">
        <v>73</v>
      </c>
      <c r="K714" s="11">
        <v>0</v>
      </c>
      <c r="L714" s="4"/>
      <c r="M714" s="4"/>
      <c r="N714" s="11">
        <v>0</v>
      </c>
      <c r="O714" s="4"/>
      <c r="P714" s="4"/>
      <c r="Q714" s="11">
        <v>0</v>
      </c>
      <c r="R714" s="4"/>
      <c r="S714" s="12"/>
    </row>
    <row r="715" spans="1:19" x14ac:dyDescent="0.25">
      <c r="A715" s="9" t="s">
        <v>571</v>
      </c>
      <c r="B715" s="9" t="s">
        <v>291</v>
      </c>
      <c r="C715" s="4">
        <v>201001906</v>
      </c>
      <c r="D715" s="4" t="s">
        <v>628</v>
      </c>
      <c r="E715" s="4" t="str">
        <f>"038312010"</f>
        <v>038312010</v>
      </c>
      <c r="F715" s="10">
        <v>40227</v>
      </c>
      <c r="G715" s="11">
        <v>30000</v>
      </c>
      <c r="H715" s="11">
        <v>30000</v>
      </c>
      <c r="I715" s="4" t="s">
        <v>72</v>
      </c>
      <c r="J715" s="4" t="s">
        <v>73</v>
      </c>
      <c r="K715" s="11">
        <v>0</v>
      </c>
      <c r="L715" s="4"/>
      <c r="M715" s="4"/>
      <c r="N715" s="11">
        <v>0</v>
      </c>
      <c r="O715" s="4"/>
      <c r="P715" s="4"/>
      <c r="Q715" s="11">
        <v>0</v>
      </c>
      <c r="R715" s="4"/>
      <c r="S715" s="12"/>
    </row>
    <row r="716" spans="1:19" x14ac:dyDescent="0.25">
      <c r="A716" s="9" t="s">
        <v>571</v>
      </c>
      <c r="B716" s="9" t="s">
        <v>291</v>
      </c>
      <c r="C716" s="4">
        <v>201001943</v>
      </c>
      <c r="D716" s="4" t="s">
        <v>2534</v>
      </c>
      <c r="E716" s="4" t="str">
        <f>"037932010"</f>
        <v>037932010</v>
      </c>
      <c r="F716" s="10">
        <v>40227</v>
      </c>
      <c r="G716" s="11">
        <v>75000</v>
      </c>
      <c r="H716" s="11">
        <v>0</v>
      </c>
      <c r="I716" s="4"/>
      <c r="J716" s="4"/>
      <c r="K716" s="11">
        <v>75000</v>
      </c>
      <c r="L716" s="4" t="s">
        <v>30</v>
      </c>
      <c r="M716" s="4" t="s">
        <v>31</v>
      </c>
      <c r="N716" s="11">
        <v>0</v>
      </c>
      <c r="O716" s="4"/>
      <c r="P716" s="4"/>
      <c r="Q716" s="11">
        <v>0</v>
      </c>
      <c r="R716" s="4"/>
      <c r="S716" s="12"/>
    </row>
    <row r="717" spans="1:19" x14ac:dyDescent="0.25">
      <c r="A717" s="9" t="s">
        <v>571</v>
      </c>
      <c r="B717" s="9" t="s">
        <v>291</v>
      </c>
      <c r="C717" s="4">
        <v>201001943</v>
      </c>
      <c r="D717" s="4" t="s">
        <v>629</v>
      </c>
      <c r="E717" s="4" t="str">
        <f>"037912010"</f>
        <v>037912010</v>
      </c>
      <c r="F717" s="10">
        <v>40227</v>
      </c>
      <c r="G717" s="11">
        <v>75000</v>
      </c>
      <c r="H717" s="11">
        <v>75000</v>
      </c>
      <c r="I717" s="4" t="s">
        <v>30</v>
      </c>
      <c r="J717" s="4" t="s">
        <v>31</v>
      </c>
      <c r="K717" s="11">
        <v>0</v>
      </c>
      <c r="L717" s="4"/>
      <c r="M717" s="4"/>
      <c r="N717" s="11">
        <v>0</v>
      </c>
      <c r="O717" s="4"/>
      <c r="P717" s="4"/>
      <c r="Q717" s="11">
        <v>0</v>
      </c>
      <c r="R717" s="4"/>
      <c r="S717" s="12"/>
    </row>
    <row r="718" spans="1:19" x14ac:dyDescent="0.25">
      <c r="A718" s="9" t="s">
        <v>571</v>
      </c>
      <c r="B718" s="9" t="s">
        <v>291</v>
      </c>
      <c r="C718" s="4">
        <v>201001944</v>
      </c>
      <c r="D718" s="4" t="s">
        <v>630</v>
      </c>
      <c r="E718" s="4" t="str">
        <f>"038332010"</f>
        <v>038332010</v>
      </c>
      <c r="F718" s="10">
        <v>40227</v>
      </c>
      <c r="G718" s="11">
        <v>125000</v>
      </c>
      <c r="H718" s="11">
        <v>125000</v>
      </c>
      <c r="I718" s="4" t="s">
        <v>72</v>
      </c>
      <c r="J718" s="4" t="s">
        <v>73</v>
      </c>
      <c r="K718" s="11">
        <v>0</v>
      </c>
      <c r="L718" s="4"/>
      <c r="M718" s="4"/>
      <c r="N718" s="11">
        <v>0</v>
      </c>
      <c r="O718" s="4"/>
      <c r="P718" s="4"/>
      <c r="Q718" s="11">
        <v>0</v>
      </c>
      <c r="R718" s="4"/>
      <c r="S718" s="12"/>
    </row>
    <row r="719" spans="1:19" x14ac:dyDescent="0.25">
      <c r="A719" s="9" t="s">
        <v>571</v>
      </c>
      <c r="B719" s="9" t="s">
        <v>291</v>
      </c>
      <c r="C719" s="4">
        <v>201002081</v>
      </c>
      <c r="D719" s="4" t="s">
        <v>631</v>
      </c>
      <c r="E719" s="4" t="str">
        <f>"041952010"</f>
        <v>041952010</v>
      </c>
      <c r="F719" s="10">
        <v>40240</v>
      </c>
      <c r="G719" s="11">
        <v>650000</v>
      </c>
      <c r="H719" s="11">
        <v>650000</v>
      </c>
      <c r="I719" s="4" t="s">
        <v>72</v>
      </c>
      <c r="J719" s="4" t="s">
        <v>73</v>
      </c>
      <c r="K719" s="11">
        <v>0</v>
      </c>
      <c r="L719" s="4"/>
      <c r="M719" s="4"/>
      <c r="N719" s="11">
        <v>0</v>
      </c>
      <c r="O719" s="4"/>
      <c r="P719" s="4"/>
      <c r="Q719" s="11">
        <v>0</v>
      </c>
      <c r="R719" s="4"/>
      <c r="S719" s="12"/>
    </row>
    <row r="720" spans="1:19" x14ac:dyDescent="0.25">
      <c r="A720" s="9" t="s">
        <v>571</v>
      </c>
      <c r="B720" s="9" t="s">
        <v>291</v>
      </c>
      <c r="C720" s="4">
        <v>201002084</v>
      </c>
      <c r="D720" s="4" t="s">
        <v>632</v>
      </c>
      <c r="E720" s="4" t="str">
        <f>"041262010"</f>
        <v>041262010</v>
      </c>
      <c r="F720" s="10">
        <v>40234</v>
      </c>
      <c r="G720" s="11">
        <v>100000</v>
      </c>
      <c r="H720" s="11">
        <v>100000</v>
      </c>
      <c r="I720" s="4" t="s">
        <v>38</v>
      </c>
      <c r="J720" s="4" t="s">
        <v>39</v>
      </c>
      <c r="K720" s="11">
        <v>0</v>
      </c>
      <c r="L720" s="4"/>
      <c r="M720" s="4"/>
      <c r="N720" s="11">
        <v>0</v>
      </c>
      <c r="O720" s="4"/>
      <c r="P720" s="4"/>
      <c r="Q720" s="11">
        <v>0</v>
      </c>
      <c r="R720" s="4"/>
      <c r="S720" s="12"/>
    </row>
    <row r="721" spans="1:19" x14ac:dyDescent="0.25">
      <c r="A721" s="9" t="s">
        <v>571</v>
      </c>
      <c r="B721" s="9" t="s">
        <v>291</v>
      </c>
      <c r="C721" s="4">
        <v>201002108</v>
      </c>
      <c r="D721" s="4" t="s">
        <v>633</v>
      </c>
      <c r="E721" s="4" t="str">
        <f>"046862010"</f>
        <v>046862010</v>
      </c>
      <c r="F721" s="10">
        <v>40252</v>
      </c>
      <c r="G721" s="11">
        <v>500000</v>
      </c>
      <c r="H721" s="11">
        <v>500000</v>
      </c>
      <c r="I721" s="4" t="s">
        <v>72</v>
      </c>
      <c r="J721" s="4" t="s">
        <v>73</v>
      </c>
      <c r="K721" s="11">
        <v>0</v>
      </c>
      <c r="L721" s="4"/>
      <c r="M721" s="4"/>
      <c r="N721" s="11">
        <v>0</v>
      </c>
      <c r="O721" s="4"/>
      <c r="P721" s="4"/>
      <c r="Q721" s="11">
        <v>0</v>
      </c>
      <c r="R721" s="4"/>
      <c r="S721" s="12"/>
    </row>
    <row r="722" spans="1:19" x14ac:dyDescent="0.25">
      <c r="A722" s="9" t="s">
        <v>571</v>
      </c>
      <c r="B722" s="9" t="s">
        <v>291</v>
      </c>
      <c r="C722" s="4">
        <v>201002112</v>
      </c>
      <c r="D722" s="4" t="s">
        <v>634</v>
      </c>
      <c r="E722" s="4" t="str">
        <f>"041042010"</f>
        <v>041042010</v>
      </c>
      <c r="F722" s="10">
        <v>40234</v>
      </c>
      <c r="G722" s="11">
        <v>50000</v>
      </c>
      <c r="H722" s="11">
        <v>50000</v>
      </c>
      <c r="I722" s="4" t="s">
        <v>23</v>
      </c>
      <c r="J722" s="4" t="s">
        <v>24</v>
      </c>
      <c r="K722" s="11">
        <v>0</v>
      </c>
      <c r="L722" s="4"/>
      <c r="M722" s="4"/>
      <c r="N722" s="11">
        <v>0</v>
      </c>
      <c r="O722" s="4"/>
      <c r="P722" s="4"/>
      <c r="Q722" s="11">
        <v>0</v>
      </c>
      <c r="R722" s="4"/>
      <c r="S722" s="12"/>
    </row>
    <row r="723" spans="1:19" x14ac:dyDescent="0.25">
      <c r="A723" s="9" t="s">
        <v>571</v>
      </c>
      <c r="B723" s="9" t="s">
        <v>291</v>
      </c>
      <c r="C723" s="4">
        <v>201002131</v>
      </c>
      <c r="D723" s="4" t="s">
        <v>635</v>
      </c>
      <c r="E723" s="4" t="str">
        <f>"044032010"</f>
        <v>044032010</v>
      </c>
      <c r="F723" s="10">
        <v>40245</v>
      </c>
      <c r="G723" s="11">
        <v>90000</v>
      </c>
      <c r="H723" s="11">
        <v>90000</v>
      </c>
      <c r="I723" s="4" t="s">
        <v>72</v>
      </c>
      <c r="J723" s="4" t="s">
        <v>73</v>
      </c>
      <c r="K723" s="11">
        <v>0</v>
      </c>
      <c r="L723" s="4"/>
      <c r="M723" s="4"/>
      <c r="N723" s="11">
        <v>0</v>
      </c>
      <c r="O723" s="4"/>
      <c r="P723" s="4"/>
      <c r="Q723" s="11">
        <v>0</v>
      </c>
      <c r="R723" s="4"/>
      <c r="S723" s="12"/>
    </row>
    <row r="724" spans="1:19" x14ac:dyDescent="0.25">
      <c r="A724" s="9" t="s">
        <v>571</v>
      </c>
      <c r="B724" s="9" t="s">
        <v>291</v>
      </c>
      <c r="C724" s="4">
        <v>201002140</v>
      </c>
      <c r="D724" s="4" t="s">
        <v>636</v>
      </c>
      <c r="E724" s="4" t="str">
        <f>"041912010"</f>
        <v>041912010</v>
      </c>
      <c r="F724" s="10">
        <v>40240</v>
      </c>
      <c r="G724" s="11">
        <v>70000</v>
      </c>
      <c r="H724" s="11">
        <v>70000</v>
      </c>
      <c r="I724" s="4" t="s">
        <v>72</v>
      </c>
      <c r="J724" s="4" t="s">
        <v>73</v>
      </c>
      <c r="K724" s="11">
        <v>0</v>
      </c>
      <c r="L724" s="4"/>
      <c r="M724" s="4"/>
      <c r="N724" s="11">
        <v>0</v>
      </c>
      <c r="O724" s="4"/>
      <c r="P724" s="4"/>
      <c r="Q724" s="11">
        <v>0</v>
      </c>
      <c r="R724" s="4"/>
      <c r="S724" s="12"/>
    </row>
    <row r="725" spans="1:19" x14ac:dyDescent="0.25">
      <c r="A725" s="9" t="s">
        <v>571</v>
      </c>
      <c r="B725" s="9" t="s">
        <v>291</v>
      </c>
      <c r="C725" s="4">
        <v>201002154</v>
      </c>
      <c r="D725" s="4" t="s">
        <v>637</v>
      </c>
      <c r="E725" s="4" t="str">
        <f>"046722010"</f>
        <v>046722010</v>
      </c>
      <c r="F725" s="10">
        <v>40252</v>
      </c>
      <c r="G725" s="11">
        <v>210000</v>
      </c>
      <c r="H725" s="11">
        <v>210000</v>
      </c>
      <c r="I725" s="4" t="s">
        <v>72</v>
      </c>
      <c r="J725" s="4" t="s">
        <v>73</v>
      </c>
      <c r="K725" s="11">
        <v>0</v>
      </c>
      <c r="L725" s="4"/>
      <c r="M725" s="4"/>
      <c r="N725" s="11">
        <v>0</v>
      </c>
      <c r="O725" s="4"/>
      <c r="P725" s="4"/>
      <c r="Q725" s="11">
        <v>0</v>
      </c>
      <c r="R725" s="4"/>
      <c r="S725" s="12"/>
    </row>
    <row r="726" spans="1:19" x14ac:dyDescent="0.25">
      <c r="A726" s="9" t="s">
        <v>571</v>
      </c>
      <c r="B726" s="9" t="s">
        <v>291</v>
      </c>
      <c r="C726" s="4">
        <v>201002187</v>
      </c>
      <c r="D726" s="4" t="s">
        <v>638</v>
      </c>
      <c r="E726" s="4" t="str">
        <f>"044142010"</f>
        <v>044142010</v>
      </c>
      <c r="F726" s="10">
        <v>40245</v>
      </c>
      <c r="G726" s="11">
        <v>130000</v>
      </c>
      <c r="H726" s="11">
        <v>130000</v>
      </c>
      <c r="I726" s="4" t="s">
        <v>23</v>
      </c>
      <c r="J726" s="4" t="s">
        <v>24</v>
      </c>
      <c r="K726" s="11">
        <v>0</v>
      </c>
      <c r="L726" s="4"/>
      <c r="M726" s="4"/>
      <c r="N726" s="11">
        <v>0</v>
      </c>
      <c r="O726" s="4"/>
      <c r="P726" s="4"/>
      <c r="Q726" s="11">
        <v>0</v>
      </c>
      <c r="R726" s="4"/>
      <c r="S726" s="12"/>
    </row>
    <row r="727" spans="1:19" x14ac:dyDescent="0.25">
      <c r="A727" s="9" t="s">
        <v>571</v>
      </c>
      <c r="B727" s="9" t="s">
        <v>291</v>
      </c>
      <c r="C727" s="4">
        <v>201002251</v>
      </c>
      <c r="D727" s="4" t="s">
        <v>639</v>
      </c>
      <c r="E727" s="4" t="str">
        <f>"045062010"</f>
        <v>045062010</v>
      </c>
      <c r="F727" s="10">
        <v>40246</v>
      </c>
      <c r="G727" s="11">
        <v>250000</v>
      </c>
      <c r="H727" s="11">
        <v>250000</v>
      </c>
      <c r="I727" s="4" t="s">
        <v>72</v>
      </c>
      <c r="J727" s="4" t="s">
        <v>73</v>
      </c>
      <c r="K727" s="11">
        <v>0</v>
      </c>
      <c r="L727" s="4"/>
      <c r="M727" s="4"/>
      <c r="N727" s="11">
        <v>0</v>
      </c>
      <c r="O727" s="4"/>
      <c r="P727" s="4"/>
      <c r="Q727" s="11">
        <v>0</v>
      </c>
      <c r="R727" s="4"/>
      <c r="S727" s="12"/>
    </row>
    <row r="728" spans="1:19" x14ac:dyDescent="0.25">
      <c r="A728" s="9" t="s">
        <v>571</v>
      </c>
      <c r="B728" s="9" t="s">
        <v>291</v>
      </c>
      <c r="C728" s="4">
        <v>201002253</v>
      </c>
      <c r="D728" s="4" t="s">
        <v>640</v>
      </c>
      <c r="E728" s="4" t="str">
        <f>"044282010"</f>
        <v>044282010</v>
      </c>
      <c r="F728" s="10">
        <v>40245</v>
      </c>
      <c r="G728" s="11">
        <v>6000</v>
      </c>
      <c r="H728" s="11">
        <v>6000</v>
      </c>
      <c r="I728" s="4" t="s">
        <v>68</v>
      </c>
      <c r="J728" s="4" t="s">
        <v>69</v>
      </c>
      <c r="K728" s="11">
        <v>0</v>
      </c>
      <c r="L728" s="4"/>
      <c r="M728" s="4"/>
      <c r="N728" s="11">
        <v>0</v>
      </c>
      <c r="O728" s="4"/>
      <c r="P728" s="4"/>
      <c r="Q728" s="11">
        <v>0</v>
      </c>
      <c r="R728" s="4"/>
      <c r="S728" s="12"/>
    </row>
    <row r="729" spans="1:19" x14ac:dyDescent="0.25">
      <c r="A729" s="9" t="s">
        <v>571</v>
      </c>
      <c r="B729" s="9" t="s">
        <v>291</v>
      </c>
      <c r="C729" s="4">
        <v>201002259</v>
      </c>
      <c r="D729" s="4" t="s">
        <v>641</v>
      </c>
      <c r="E729" s="4" t="str">
        <f>"045242010"</f>
        <v>045242010</v>
      </c>
      <c r="F729" s="10">
        <v>40246</v>
      </c>
      <c r="G729" s="11">
        <v>750000</v>
      </c>
      <c r="H729" s="11">
        <v>750000</v>
      </c>
      <c r="I729" s="4" t="s">
        <v>72</v>
      </c>
      <c r="J729" s="4" t="s">
        <v>73</v>
      </c>
      <c r="K729" s="11">
        <v>0</v>
      </c>
      <c r="L729" s="4"/>
      <c r="M729" s="4"/>
      <c r="N729" s="11">
        <v>0</v>
      </c>
      <c r="O729" s="4"/>
      <c r="P729" s="4"/>
      <c r="Q729" s="11">
        <v>0</v>
      </c>
      <c r="R729" s="4"/>
      <c r="S729" s="12"/>
    </row>
    <row r="730" spans="1:19" x14ac:dyDescent="0.25">
      <c r="A730" s="9" t="s">
        <v>571</v>
      </c>
      <c r="B730" s="9" t="s">
        <v>291</v>
      </c>
      <c r="C730" s="4">
        <v>201002264</v>
      </c>
      <c r="D730" s="4" t="s">
        <v>642</v>
      </c>
      <c r="E730" s="4" t="str">
        <f>"045142010"</f>
        <v>045142010</v>
      </c>
      <c r="F730" s="10">
        <v>40246</v>
      </c>
      <c r="G730" s="11">
        <v>62500</v>
      </c>
      <c r="H730" s="11">
        <v>62500</v>
      </c>
      <c r="I730" s="4" t="s">
        <v>72</v>
      </c>
      <c r="J730" s="4" t="s">
        <v>73</v>
      </c>
      <c r="K730" s="11">
        <v>0</v>
      </c>
      <c r="L730" s="4"/>
      <c r="M730" s="4"/>
      <c r="N730" s="11">
        <v>0</v>
      </c>
      <c r="O730" s="4"/>
      <c r="P730" s="4"/>
      <c r="Q730" s="11">
        <v>0</v>
      </c>
      <c r="R730" s="4"/>
      <c r="S730" s="12"/>
    </row>
    <row r="731" spans="1:19" x14ac:dyDescent="0.25">
      <c r="A731" s="9" t="s">
        <v>571</v>
      </c>
      <c r="B731" s="9" t="s">
        <v>291</v>
      </c>
      <c r="C731" s="4">
        <v>201002395</v>
      </c>
      <c r="D731" s="4" t="s">
        <v>643</v>
      </c>
      <c r="E731" s="4" t="str">
        <f>"049562010"</f>
        <v>049562010</v>
      </c>
      <c r="F731" s="10">
        <v>40262</v>
      </c>
      <c r="G731" s="11">
        <v>550000</v>
      </c>
      <c r="H731" s="11">
        <v>550000</v>
      </c>
      <c r="I731" s="4" t="s">
        <v>72</v>
      </c>
      <c r="J731" s="4" t="s">
        <v>73</v>
      </c>
      <c r="K731" s="11">
        <v>0</v>
      </c>
      <c r="L731" s="4"/>
      <c r="M731" s="4"/>
      <c r="N731" s="11">
        <v>0</v>
      </c>
      <c r="O731" s="4"/>
      <c r="P731" s="4"/>
      <c r="Q731" s="11">
        <v>0</v>
      </c>
      <c r="R731" s="4"/>
      <c r="S731" s="12"/>
    </row>
    <row r="732" spans="1:19" x14ac:dyDescent="0.25">
      <c r="A732" s="9" t="s">
        <v>571</v>
      </c>
      <c r="B732" s="9" t="s">
        <v>291</v>
      </c>
      <c r="C732" s="4">
        <v>201002402</v>
      </c>
      <c r="D732" s="4" t="s">
        <v>644</v>
      </c>
      <c r="E732" s="4" t="str">
        <f>"047782010"</f>
        <v>047782010</v>
      </c>
      <c r="F732" s="10">
        <v>40255</v>
      </c>
      <c r="G732" s="11">
        <v>160000</v>
      </c>
      <c r="H732" s="11">
        <v>160000</v>
      </c>
      <c r="I732" s="4" t="s">
        <v>72</v>
      </c>
      <c r="J732" s="4" t="s">
        <v>73</v>
      </c>
      <c r="K732" s="11">
        <v>0</v>
      </c>
      <c r="L732" s="4"/>
      <c r="M732" s="4"/>
      <c r="N732" s="11">
        <v>0</v>
      </c>
      <c r="O732" s="4"/>
      <c r="P732" s="4"/>
      <c r="Q732" s="11">
        <v>0</v>
      </c>
      <c r="R732" s="4"/>
      <c r="S732" s="12"/>
    </row>
    <row r="733" spans="1:19" x14ac:dyDescent="0.25">
      <c r="A733" s="9" t="s">
        <v>571</v>
      </c>
      <c r="B733" s="9" t="s">
        <v>291</v>
      </c>
      <c r="C733" s="4">
        <v>201002435</v>
      </c>
      <c r="D733" s="4" t="s">
        <v>645</v>
      </c>
      <c r="E733" s="4" t="str">
        <f>"048892010"</f>
        <v>048892010</v>
      </c>
      <c r="F733" s="10">
        <v>40259</v>
      </c>
      <c r="G733" s="11">
        <v>275000</v>
      </c>
      <c r="H733" s="11">
        <v>275000</v>
      </c>
      <c r="I733" s="4" t="s">
        <v>72</v>
      </c>
      <c r="J733" s="4" t="s">
        <v>73</v>
      </c>
      <c r="K733" s="11">
        <v>0</v>
      </c>
      <c r="L733" s="4"/>
      <c r="M733" s="4"/>
      <c r="N733" s="11">
        <v>0</v>
      </c>
      <c r="O733" s="4"/>
      <c r="P733" s="4"/>
      <c r="Q733" s="11">
        <v>0</v>
      </c>
      <c r="R733" s="4"/>
      <c r="S733" s="12"/>
    </row>
    <row r="734" spans="1:19" x14ac:dyDescent="0.25">
      <c r="A734" s="9" t="s">
        <v>571</v>
      </c>
      <c r="B734" s="9" t="s">
        <v>291</v>
      </c>
      <c r="C734" s="4">
        <v>201002451</v>
      </c>
      <c r="D734" s="4" t="s">
        <v>646</v>
      </c>
      <c r="E734" s="4" t="str">
        <f>"049482010"</f>
        <v>049482010</v>
      </c>
      <c r="F734" s="10">
        <v>40260</v>
      </c>
      <c r="G734" s="11">
        <v>7000</v>
      </c>
      <c r="H734" s="11">
        <v>7000</v>
      </c>
      <c r="I734" s="4" t="s">
        <v>30</v>
      </c>
      <c r="J734" s="4" t="s">
        <v>31</v>
      </c>
      <c r="K734" s="11">
        <v>0</v>
      </c>
      <c r="L734" s="4"/>
      <c r="M734" s="4"/>
      <c r="N734" s="11">
        <v>0</v>
      </c>
      <c r="O734" s="4"/>
      <c r="P734" s="4"/>
      <c r="Q734" s="11">
        <v>0</v>
      </c>
      <c r="R734" s="4"/>
      <c r="S734" s="12"/>
    </row>
    <row r="735" spans="1:19" x14ac:dyDescent="0.25">
      <c r="A735" s="9" t="s">
        <v>571</v>
      </c>
      <c r="B735" s="9" t="s">
        <v>291</v>
      </c>
      <c r="C735" s="4">
        <v>201002513</v>
      </c>
      <c r="D735" s="4" t="s">
        <v>647</v>
      </c>
      <c r="E735" s="4" t="str">
        <f>"049582010"</f>
        <v>049582010</v>
      </c>
      <c r="F735" s="10">
        <v>40262</v>
      </c>
      <c r="G735" s="11">
        <v>200000</v>
      </c>
      <c r="H735" s="11">
        <v>200000</v>
      </c>
      <c r="I735" s="4" t="s">
        <v>72</v>
      </c>
      <c r="J735" s="4" t="s">
        <v>73</v>
      </c>
      <c r="K735" s="11">
        <v>0</v>
      </c>
      <c r="L735" s="4"/>
      <c r="M735" s="4"/>
      <c r="N735" s="11">
        <v>0</v>
      </c>
      <c r="O735" s="4"/>
      <c r="P735" s="4"/>
      <c r="Q735" s="11">
        <v>0</v>
      </c>
      <c r="R735" s="4"/>
      <c r="S735" s="12"/>
    </row>
    <row r="736" spans="1:19" x14ac:dyDescent="0.25">
      <c r="A736" s="9" t="s">
        <v>571</v>
      </c>
      <c r="B736" s="9" t="s">
        <v>291</v>
      </c>
      <c r="C736" s="4">
        <v>201002604</v>
      </c>
      <c r="D736" s="4" t="s">
        <v>648</v>
      </c>
      <c r="E736" s="4" t="str">
        <f>"053442010"</f>
        <v>053442010</v>
      </c>
      <c r="F736" s="10">
        <v>40274</v>
      </c>
      <c r="G736" s="11">
        <v>825000</v>
      </c>
      <c r="H736" s="11">
        <v>825000</v>
      </c>
      <c r="I736" s="4" t="s">
        <v>72</v>
      </c>
      <c r="J736" s="4" t="s">
        <v>73</v>
      </c>
      <c r="K736" s="11">
        <v>0</v>
      </c>
      <c r="L736" s="4"/>
      <c r="M736" s="4"/>
      <c r="N736" s="11">
        <v>0</v>
      </c>
      <c r="O736" s="4"/>
      <c r="P736" s="4"/>
      <c r="Q736" s="11">
        <v>0</v>
      </c>
      <c r="R736" s="4"/>
      <c r="S736" s="12"/>
    </row>
    <row r="737" spans="1:19" x14ac:dyDescent="0.25">
      <c r="A737" s="9" t="s">
        <v>571</v>
      </c>
      <c r="B737" s="9" t="s">
        <v>291</v>
      </c>
      <c r="C737" s="4">
        <v>201002618</v>
      </c>
      <c r="D737" s="4" t="s">
        <v>649</v>
      </c>
      <c r="E737" s="4" t="str">
        <f>"051842010"</f>
        <v>051842010</v>
      </c>
      <c r="F737" s="10">
        <v>40263</v>
      </c>
      <c r="G737" s="11">
        <v>75000</v>
      </c>
      <c r="H737" s="11">
        <v>75000</v>
      </c>
      <c r="I737" s="4" t="s">
        <v>72</v>
      </c>
      <c r="J737" s="4" t="s">
        <v>73</v>
      </c>
      <c r="K737" s="11">
        <v>0</v>
      </c>
      <c r="L737" s="4"/>
      <c r="M737" s="4"/>
      <c r="N737" s="11">
        <v>0</v>
      </c>
      <c r="O737" s="4"/>
      <c r="P737" s="4"/>
      <c r="Q737" s="11">
        <v>0</v>
      </c>
      <c r="R737" s="4"/>
      <c r="S737" s="12"/>
    </row>
    <row r="738" spans="1:19" x14ac:dyDescent="0.25">
      <c r="A738" s="9" t="s">
        <v>571</v>
      </c>
      <c r="B738" s="9" t="s">
        <v>291</v>
      </c>
      <c r="C738" s="4">
        <v>201002655</v>
      </c>
      <c r="D738" s="4" t="s">
        <v>650</v>
      </c>
      <c r="E738" s="4" t="str">
        <f>"052782010"</f>
        <v>052782010</v>
      </c>
      <c r="F738" s="10">
        <v>40276</v>
      </c>
      <c r="G738" s="11">
        <v>45000</v>
      </c>
      <c r="H738" s="11">
        <v>45000</v>
      </c>
      <c r="I738" s="4" t="s">
        <v>72</v>
      </c>
      <c r="J738" s="4" t="s">
        <v>73</v>
      </c>
      <c r="K738" s="11">
        <v>0</v>
      </c>
      <c r="L738" s="4"/>
      <c r="M738" s="4"/>
      <c r="N738" s="11">
        <v>0</v>
      </c>
      <c r="O738" s="4"/>
      <c r="P738" s="4"/>
      <c r="Q738" s="11">
        <v>0</v>
      </c>
      <c r="R738" s="4"/>
      <c r="S738" s="12"/>
    </row>
    <row r="739" spans="1:19" x14ac:dyDescent="0.25">
      <c r="A739" s="9" t="s">
        <v>571</v>
      </c>
      <c r="B739" s="9" t="s">
        <v>291</v>
      </c>
      <c r="C739" s="4">
        <v>201002656</v>
      </c>
      <c r="D739" s="4" t="s">
        <v>651</v>
      </c>
      <c r="E739" s="4" t="str">
        <f>"052762010"</f>
        <v>052762010</v>
      </c>
      <c r="F739" s="10">
        <v>40266</v>
      </c>
      <c r="G739" s="11">
        <v>100000</v>
      </c>
      <c r="H739" s="11">
        <v>100000</v>
      </c>
      <c r="I739" s="4" t="s">
        <v>30</v>
      </c>
      <c r="J739" s="4" t="s">
        <v>31</v>
      </c>
      <c r="K739" s="11">
        <v>0</v>
      </c>
      <c r="L739" s="4"/>
      <c r="M739" s="4"/>
      <c r="N739" s="11">
        <v>0</v>
      </c>
      <c r="O739" s="4"/>
      <c r="P739" s="4"/>
      <c r="Q739" s="11">
        <v>0</v>
      </c>
      <c r="R739" s="4"/>
      <c r="S739" s="12"/>
    </row>
    <row r="740" spans="1:19" x14ac:dyDescent="0.25">
      <c r="A740" s="9" t="s">
        <v>571</v>
      </c>
      <c r="B740" s="9" t="s">
        <v>291</v>
      </c>
      <c r="C740" s="4">
        <v>201002813</v>
      </c>
      <c r="D740" s="4" t="s">
        <v>652</v>
      </c>
      <c r="E740" s="4" t="str">
        <f>"057992010"</f>
        <v>057992010</v>
      </c>
      <c r="F740" s="10">
        <v>40283</v>
      </c>
      <c r="G740" s="11">
        <v>800000</v>
      </c>
      <c r="H740" s="11">
        <v>800000</v>
      </c>
      <c r="I740" s="4" t="s">
        <v>72</v>
      </c>
      <c r="J740" s="4" t="s">
        <v>73</v>
      </c>
      <c r="K740" s="11">
        <v>0</v>
      </c>
      <c r="L740" s="4"/>
      <c r="M740" s="4"/>
      <c r="N740" s="11">
        <v>0</v>
      </c>
      <c r="O740" s="4"/>
      <c r="P740" s="4"/>
      <c r="Q740" s="11">
        <v>0</v>
      </c>
      <c r="R740" s="4"/>
      <c r="S740" s="12"/>
    </row>
    <row r="741" spans="1:19" x14ac:dyDescent="0.25">
      <c r="A741" s="9" t="s">
        <v>571</v>
      </c>
      <c r="B741" s="9" t="s">
        <v>291</v>
      </c>
      <c r="C741" s="4">
        <v>201002814</v>
      </c>
      <c r="D741" s="4" t="s">
        <v>653</v>
      </c>
      <c r="E741" s="4" t="str">
        <f>"055972010"</f>
        <v>055972010</v>
      </c>
      <c r="F741" s="10">
        <v>40275</v>
      </c>
      <c r="G741" s="11">
        <v>9000</v>
      </c>
      <c r="H741" s="11">
        <v>9000</v>
      </c>
      <c r="I741" s="4" t="s">
        <v>72</v>
      </c>
      <c r="J741" s="4" t="s">
        <v>73</v>
      </c>
      <c r="K741" s="11">
        <v>0</v>
      </c>
      <c r="L741" s="4"/>
      <c r="M741" s="4"/>
      <c r="N741" s="11">
        <v>0</v>
      </c>
      <c r="O741" s="4"/>
      <c r="P741" s="4"/>
      <c r="Q741" s="11">
        <v>0</v>
      </c>
      <c r="R741" s="4"/>
      <c r="S741" s="12"/>
    </row>
    <row r="742" spans="1:19" x14ac:dyDescent="0.25">
      <c r="A742" s="9" t="s">
        <v>571</v>
      </c>
      <c r="B742" s="9" t="s">
        <v>291</v>
      </c>
      <c r="C742" s="4">
        <v>201002858</v>
      </c>
      <c r="D742" s="4" t="s">
        <v>654</v>
      </c>
      <c r="E742" s="4" t="str">
        <f>"078492010"</f>
        <v>078492010</v>
      </c>
      <c r="F742" s="10">
        <v>40340</v>
      </c>
      <c r="G742" s="11">
        <v>74288.600000000006</v>
      </c>
      <c r="H742" s="11">
        <v>74288.600000000006</v>
      </c>
      <c r="I742" s="4" t="s">
        <v>72</v>
      </c>
      <c r="J742" s="4" t="s">
        <v>73</v>
      </c>
      <c r="K742" s="11">
        <v>0</v>
      </c>
      <c r="L742" s="4"/>
      <c r="M742" s="4"/>
      <c r="N742" s="11">
        <v>0</v>
      </c>
      <c r="O742" s="4"/>
      <c r="P742" s="4"/>
      <c r="Q742" s="11">
        <v>0</v>
      </c>
      <c r="R742" s="4"/>
      <c r="S742" s="12"/>
    </row>
    <row r="743" spans="1:19" x14ac:dyDescent="0.25">
      <c r="A743" s="9" t="s">
        <v>571</v>
      </c>
      <c r="B743" s="9" t="s">
        <v>291</v>
      </c>
      <c r="C743" s="4">
        <v>201002903</v>
      </c>
      <c r="D743" s="4" t="s">
        <v>655</v>
      </c>
      <c r="E743" s="4" t="str">
        <f>"057972010"</f>
        <v>057972010</v>
      </c>
      <c r="F743" s="10">
        <v>40284</v>
      </c>
      <c r="G743" s="11">
        <v>290000</v>
      </c>
      <c r="H743" s="11">
        <v>290000</v>
      </c>
      <c r="I743" s="4" t="s">
        <v>68</v>
      </c>
      <c r="J743" s="4" t="s">
        <v>69</v>
      </c>
      <c r="K743" s="11">
        <v>0</v>
      </c>
      <c r="L743" s="4"/>
      <c r="M743" s="4"/>
      <c r="N743" s="11">
        <v>0</v>
      </c>
      <c r="O743" s="4"/>
      <c r="P743" s="4"/>
      <c r="Q743" s="11">
        <v>0</v>
      </c>
      <c r="R743" s="4"/>
      <c r="S743" s="12"/>
    </row>
    <row r="744" spans="1:19" x14ac:dyDescent="0.25">
      <c r="A744" s="9" t="s">
        <v>571</v>
      </c>
      <c r="B744" s="9" t="s">
        <v>291</v>
      </c>
      <c r="C744" s="4">
        <v>201002933</v>
      </c>
      <c r="D744" s="4" t="s">
        <v>656</v>
      </c>
      <c r="E744" s="4" t="str">
        <f>"057852010"</f>
        <v>057852010</v>
      </c>
      <c r="F744" s="10">
        <v>40283</v>
      </c>
      <c r="G744" s="11">
        <v>250000</v>
      </c>
      <c r="H744" s="11">
        <v>250000</v>
      </c>
      <c r="I744" s="4" t="s">
        <v>72</v>
      </c>
      <c r="J744" s="4" t="s">
        <v>73</v>
      </c>
      <c r="K744" s="11">
        <v>0</v>
      </c>
      <c r="L744" s="4"/>
      <c r="M744" s="4"/>
      <c r="N744" s="11">
        <v>0</v>
      </c>
      <c r="O744" s="4"/>
      <c r="P744" s="4"/>
      <c r="Q744" s="11">
        <v>0</v>
      </c>
      <c r="R744" s="4"/>
      <c r="S744" s="12"/>
    </row>
    <row r="745" spans="1:19" x14ac:dyDescent="0.25">
      <c r="A745" s="9" t="s">
        <v>571</v>
      </c>
      <c r="B745" s="9" t="s">
        <v>291</v>
      </c>
      <c r="C745" s="4">
        <v>201002950</v>
      </c>
      <c r="D745" s="4" t="s">
        <v>657</v>
      </c>
      <c r="E745" s="4" t="str">
        <f>"058112010"</f>
        <v>058112010</v>
      </c>
      <c r="F745" s="10">
        <v>40283</v>
      </c>
      <c r="G745" s="11">
        <v>523895.22</v>
      </c>
      <c r="H745" s="11">
        <v>523895.22</v>
      </c>
      <c r="I745" s="4" t="s">
        <v>72</v>
      </c>
      <c r="J745" s="4" t="s">
        <v>73</v>
      </c>
      <c r="K745" s="11">
        <v>0</v>
      </c>
      <c r="L745" s="4"/>
      <c r="M745" s="4"/>
      <c r="N745" s="11">
        <v>0</v>
      </c>
      <c r="O745" s="4"/>
      <c r="P745" s="4"/>
      <c r="Q745" s="11">
        <v>0</v>
      </c>
      <c r="R745" s="4"/>
      <c r="S745" s="12"/>
    </row>
    <row r="746" spans="1:19" x14ac:dyDescent="0.25">
      <c r="A746" s="9" t="s">
        <v>571</v>
      </c>
      <c r="B746" s="9" t="s">
        <v>291</v>
      </c>
      <c r="C746" s="4">
        <v>201002953</v>
      </c>
      <c r="D746" s="4" t="s">
        <v>658</v>
      </c>
      <c r="E746" s="4" t="str">
        <f>"057952010"</f>
        <v>057952010</v>
      </c>
      <c r="F746" s="10">
        <v>40283</v>
      </c>
      <c r="G746" s="11">
        <v>55000</v>
      </c>
      <c r="H746" s="11">
        <v>55000</v>
      </c>
      <c r="I746" s="4" t="s">
        <v>72</v>
      </c>
      <c r="J746" s="4" t="s">
        <v>73</v>
      </c>
      <c r="K746" s="11">
        <v>0</v>
      </c>
      <c r="L746" s="4"/>
      <c r="M746" s="4"/>
      <c r="N746" s="11">
        <v>0</v>
      </c>
      <c r="O746" s="4"/>
      <c r="P746" s="4"/>
      <c r="Q746" s="11">
        <v>0</v>
      </c>
      <c r="R746" s="4"/>
      <c r="S746" s="12"/>
    </row>
    <row r="747" spans="1:19" x14ac:dyDescent="0.25">
      <c r="A747" s="9" t="s">
        <v>571</v>
      </c>
      <c r="B747" s="9" t="s">
        <v>291</v>
      </c>
      <c r="C747" s="4">
        <v>201002965</v>
      </c>
      <c r="D747" s="4" t="s">
        <v>659</v>
      </c>
      <c r="E747" s="4" t="str">
        <f>"058592010"</f>
        <v>058592010</v>
      </c>
      <c r="F747" s="10">
        <v>40283</v>
      </c>
      <c r="G747" s="11">
        <v>20000</v>
      </c>
      <c r="H747" s="11">
        <v>20000</v>
      </c>
      <c r="I747" s="4" t="s">
        <v>72</v>
      </c>
      <c r="J747" s="4" t="s">
        <v>73</v>
      </c>
      <c r="K747" s="11">
        <v>0</v>
      </c>
      <c r="L747" s="4"/>
      <c r="M747" s="4"/>
      <c r="N747" s="11">
        <v>0</v>
      </c>
      <c r="O747" s="4"/>
      <c r="P747" s="4"/>
      <c r="Q747" s="11">
        <v>0</v>
      </c>
      <c r="R747" s="4"/>
      <c r="S747" s="12"/>
    </row>
    <row r="748" spans="1:19" x14ac:dyDescent="0.25">
      <c r="A748" s="9" t="s">
        <v>571</v>
      </c>
      <c r="B748" s="9" t="s">
        <v>291</v>
      </c>
      <c r="C748" s="4">
        <v>201002985</v>
      </c>
      <c r="D748" s="4" t="s">
        <v>660</v>
      </c>
      <c r="E748" s="4" t="str">
        <f>"060442010"</f>
        <v>060442010</v>
      </c>
      <c r="F748" s="10">
        <v>40289</v>
      </c>
      <c r="G748" s="11">
        <v>175000</v>
      </c>
      <c r="H748" s="11">
        <v>175000</v>
      </c>
      <c r="I748" s="4" t="s">
        <v>23</v>
      </c>
      <c r="J748" s="4" t="s">
        <v>24</v>
      </c>
      <c r="K748" s="11">
        <v>0</v>
      </c>
      <c r="L748" s="4"/>
      <c r="M748" s="4"/>
      <c r="N748" s="11">
        <v>0</v>
      </c>
      <c r="O748" s="4"/>
      <c r="P748" s="4"/>
      <c r="Q748" s="11">
        <v>0</v>
      </c>
      <c r="R748" s="4"/>
      <c r="S748" s="12"/>
    </row>
    <row r="749" spans="1:19" x14ac:dyDescent="0.25">
      <c r="A749" s="9" t="s">
        <v>571</v>
      </c>
      <c r="B749" s="9" t="s">
        <v>291</v>
      </c>
      <c r="C749" s="4">
        <v>201003028</v>
      </c>
      <c r="D749" s="4"/>
      <c r="E749" s="4" t="str">
        <f>"059732010"</f>
        <v>059732010</v>
      </c>
      <c r="F749" s="10">
        <v>40288</v>
      </c>
      <c r="G749" s="11">
        <v>20000</v>
      </c>
      <c r="H749" s="11">
        <v>20000</v>
      </c>
      <c r="I749" s="4" t="s">
        <v>30</v>
      </c>
      <c r="J749" s="4" t="s">
        <v>31</v>
      </c>
      <c r="K749" s="11">
        <v>0</v>
      </c>
      <c r="L749" s="4"/>
      <c r="M749" s="4"/>
      <c r="N749" s="11">
        <v>0</v>
      </c>
      <c r="O749" s="4"/>
      <c r="P749" s="4"/>
      <c r="Q749" s="11">
        <v>0</v>
      </c>
      <c r="R749" s="4"/>
      <c r="S749" s="12"/>
    </row>
    <row r="750" spans="1:19" x14ac:dyDescent="0.25">
      <c r="A750" s="9" t="s">
        <v>571</v>
      </c>
      <c r="B750" s="9" t="s">
        <v>291</v>
      </c>
      <c r="C750" s="4">
        <v>201003039</v>
      </c>
      <c r="D750" s="4" t="s">
        <v>661</v>
      </c>
      <c r="E750" s="4" t="str">
        <f>"060262010"</f>
        <v>060262010</v>
      </c>
      <c r="F750" s="10">
        <v>40289</v>
      </c>
      <c r="G750" s="11">
        <v>450000</v>
      </c>
      <c r="H750" s="11">
        <v>450000</v>
      </c>
      <c r="I750" s="4" t="s">
        <v>72</v>
      </c>
      <c r="J750" s="4" t="s">
        <v>73</v>
      </c>
      <c r="K750" s="11">
        <v>0</v>
      </c>
      <c r="L750" s="4"/>
      <c r="M750" s="4"/>
      <c r="N750" s="11">
        <v>0</v>
      </c>
      <c r="O750" s="4"/>
      <c r="P750" s="4"/>
      <c r="Q750" s="11">
        <v>0</v>
      </c>
      <c r="R750" s="4"/>
      <c r="S750" s="12"/>
    </row>
    <row r="751" spans="1:19" x14ac:dyDescent="0.25">
      <c r="A751" s="9" t="s">
        <v>571</v>
      </c>
      <c r="B751" s="9" t="s">
        <v>291</v>
      </c>
      <c r="C751" s="4">
        <v>201003073</v>
      </c>
      <c r="D751" s="4"/>
      <c r="E751" s="4" t="str">
        <f>"060962010"</f>
        <v>060962010</v>
      </c>
      <c r="F751" s="10">
        <v>40291</v>
      </c>
      <c r="G751" s="11">
        <v>38000</v>
      </c>
      <c r="H751" s="11">
        <v>38000</v>
      </c>
      <c r="I751" s="4" t="s">
        <v>30</v>
      </c>
      <c r="J751" s="4" t="s">
        <v>31</v>
      </c>
      <c r="K751" s="11">
        <v>0</v>
      </c>
      <c r="L751" s="4"/>
      <c r="M751" s="4"/>
      <c r="N751" s="11">
        <v>0</v>
      </c>
      <c r="O751" s="4"/>
      <c r="P751" s="4"/>
      <c r="Q751" s="11">
        <v>0</v>
      </c>
      <c r="R751" s="4"/>
      <c r="S751" s="12"/>
    </row>
    <row r="752" spans="1:19" x14ac:dyDescent="0.25">
      <c r="A752" s="9" t="s">
        <v>571</v>
      </c>
      <c r="B752" s="9" t="s">
        <v>291</v>
      </c>
      <c r="C752" s="4">
        <v>201003083</v>
      </c>
      <c r="D752" s="4" t="s">
        <v>662</v>
      </c>
      <c r="E752" s="4" t="str">
        <f>"062142010"</f>
        <v>062142010</v>
      </c>
      <c r="F752" s="10">
        <v>40295</v>
      </c>
      <c r="G752" s="11">
        <v>375000</v>
      </c>
      <c r="H752" s="11">
        <v>375000</v>
      </c>
      <c r="I752" s="4" t="s">
        <v>72</v>
      </c>
      <c r="J752" s="4" t="s">
        <v>73</v>
      </c>
      <c r="K752" s="11">
        <v>0</v>
      </c>
      <c r="L752" s="4"/>
      <c r="M752" s="4"/>
      <c r="N752" s="11">
        <v>0</v>
      </c>
      <c r="O752" s="4"/>
      <c r="P752" s="4"/>
      <c r="Q752" s="11">
        <v>0</v>
      </c>
      <c r="R752" s="4"/>
      <c r="S752" s="12"/>
    </row>
    <row r="753" spans="1:19" x14ac:dyDescent="0.25">
      <c r="A753" s="9" t="s">
        <v>571</v>
      </c>
      <c r="B753" s="9" t="s">
        <v>291</v>
      </c>
      <c r="C753" s="4">
        <v>201003088</v>
      </c>
      <c r="D753" s="4"/>
      <c r="E753" s="4" t="str">
        <f>"064612010"</f>
        <v>064612010</v>
      </c>
      <c r="F753" s="10">
        <v>40302</v>
      </c>
      <c r="G753" s="11">
        <v>750</v>
      </c>
      <c r="H753" s="11">
        <v>0</v>
      </c>
      <c r="I753" s="4"/>
      <c r="J753" s="4"/>
      <c r="K753" s="11">
        <v>750</v>
      </c>
      <c r="L753" s="4" t="s">
        <v>56</v>
      </c>
      <c r="M753" s="4" t="s">
        <v>57</v>
      </c>
      <c r="N753" s="11">
        <v>0</v>
      </c>
      <c r="O753" s="4"/>
      <c r="P753" s="4"/>
      <c r="Q753" s="11">
        <v>0</v>
      </c>
      <c r="R753" s="4"/>
      <c r="S753" s="12"/>
    </row>
    <row r="754" spans="1:19" x14ac:dyDescent="0.25">
      <c r="A754" s="9" t="s">
        <v>571</v>
      </c>
      <c r="B754" s="9" t="s">
        <v>291</v>
      </c>
      <c r="C754" s="4">
        <v>201003159</v>
      </c>
      <c r="D754" s="4" t="s">
        <v>663</v>
      </c>
      <c r="E754" s="4" t="str">
        <f>"063962010"</f>
        <v>063962010</v>
      </c>
      <c r="F754" s="10">
        <v>40298</v>
      </c>
      <c r="G754" s="11">
        <v>160504.01</v>
      </c>
      <c r="H754" s="11">
        <v>160504.01</v>
      </c>
      <c r="I754" s="4" t="s">
        <v>664</v>
      </c>
      <c r="J754" s="4" t="s">
        <v>665</v>
      </c>
      <c r="K754" s="11">
        <v>0</v>
      </c>
      <c r="L754" s="4"/>
      <c r="M754" s="4"/>
      <c r="N754" s="11">
        <v>0</v>
      </c>
      <c r="O754" s="4"/>
      <c r="P754" s="4"/>
      <c r="Q754" s="11">
        <v>0</v>
      </c>
      <c r="R754" s="4"/>
      <c r="S754" s="12"/>
    </row>
    <row r="755" spans="1:19" x14ac:dyDescent="0.25">
      <c r="A755" s="9" t="s">
        <v>571</v>
      </c>
      <c r="B755" s="9" t="s">
        <v>291</v>
      </c>
      <c r="C755" s="4">
        <v>201003174</v>
      </c>
      <c r="D755" s="4" t="s">
        <v>666</v>
      </c>
      <c r="E755" s="4" t="str">
        <f>"064902010"</f>
        <v>064902010</v>
      </c>
      <c r="F755" s="10">
        <v>40302</v>
      </c>
      <c r="G755" s="11">
        <v>1500000</v>
      </c>
      <c r="H755" s="11">
        <v>1500000</v>
      </c>
      <c r="I755" s="4" t="s">
        <v>72</v>
      </c>
      <c r="J755" s="4" t="s">
        <v>73</v>
      </c>
      <c r="K755" s="11">
        <v>0</v>
      </c>
      <c r="L755" s="4"/>
      <c r="M755" s="4"/>
      <c r="N755" s="11">
        <v>0</v>
      </c>
      <c r="O755" s="4"/>
      <c r="P755" s="4"/>
      <c r="Q755" s="11">
        <v>0</v>
      </c>
      <c r="R755" s="4"/>
      <c r="S755" s="12"/>
    </row>
    <row r="756" spans="1:19" x14ac:dyDescent="0.25">
      <c r="A756" s="9" t="s">
        <v>571</v>
      </c>
      <c r="B756" s="9" t="s">
        <v>291</v>
      </c>
      <c r="C756" s="4">
        <v>201003219</v>
      </c>
      <c r="D756" s="4" t="s">
        <v>667</v>
      </c>
      <c r="E756" s="4" t="str">
        <f>"063902010"</f>
        <v>063902010</v>
      </c>
      <c r="F756" s="10">
        <v>40302</v>
      </c>
      <c r="G756" s="11">
        <v>300000</v>
      </c>
      <c r="H756" s="11">
        <v>300000</v>
      </c>
      <c r="I756" s="4" t="s">
        <v>72</v>
      </c>
      <c r="J756" s="4" t="s">
        <v>73</v>
      </c>
      <c r="K756" s="11">
        <v>0</v>
      </c>
      <c r="L756" s="4"/>
      <c r="M756" s="4"/>
      <c r="N756" s="11">
        <v>0</v>
      </c>
      <c r="O756" s="4"/>
      <c r="P756" s="4"/>
      <c r="Q756" s="11">
        <v>0</v>
      </c>
      <c r="R756" s="4"/>
      <c r="S756" s="12"/>
    </row>
    <row r="757" spans="1:19" x14ac:dyDescent="0.25">
      <c r="A757" s="9" t="s">
        <v>571</v>
      </c>
      <c r="B757" s="9" t="s">
        <v>291</v>
      </c>
      <c r="C757" s="4">
        <v>201003222</v>
      </c>
      <c r="D757" s="4" t="s">
        <v>668</v>
      </c>
      <c r="E757" s="4" t="str">
        <f>"064142010"</f>
        <v>064142010</v>
      </c>
      <c r="F757" s="10">
        <v>40302</v>
      </c>
      <c r="G757" s="11">
        <v>120000</v>
      </c>
      <c r="H757" s="11">
        <v>120000</v>
      </c>
      <c r="I757" s="4" t="s">
        <v>23</v>
      </c>
      <c r="J757" s="4" t="s">
        <v>24</v>
      </c>
      <c r="K757" s="11">
        <v>0</v>
      </c>
      <c r="L757" s="4"/>
      <c r="M757" s="4"/>
      <c r="N757" s="11">
        <v>0</v>
      </c>
      <c r="O757" s="4"/>
      <c r="P757" s="4"/>
      <c r="Q757" s="11">
        <v>0</v>
      </c>
      <c r="R757" s="4"/>
      <c r="S757" s="12"/>
    </row>
    <row r="758" spans="1:19" x14ac:dyDescent="0.25">
      <c r="A758" s="9" t="s">
        <v>571</v>
      </c>
      <c r="B758" s="9" t="s">
        <v>291</v>
      </c>
      <c r="C758" s="4">
        <v>201003224</v>
      </c>
      <c r="D758" s="4" t="s">
        <v>669</v>
      </c>
      <c r="E758" s="4" t="str">
        <f>"064262010"</f>
        <v>064262010</v>
      </c>
      <c r="F758" s="10">
        <v>40302</v>
      </c>
      <c r="G758" s="11">
        <v>250000</v>
      </c>
      <c r="H758" s="11">
        <v>250000</v>
      </c>
      <c r="I758" s="4" t="s">
        <v>72</v>
      </c>
      <c r="J758" s="4" t="s">
        <v>73</v>
      </c>
      <c r="K758" s="11">
        <v>0</v>
      </c>
      <c r="L758" s="4"/>
      <c r="M758" s="4"/>
      <c r="N758" s="11">
        <v>0</v>
      </c>
      <c r="O758" s="4"/>
      <c r="P758" s="4"/>
      <c r="Q758" s="11">
        <v>0</v>
      </c>
      <c r="R758" s="4"/>
      <c r="S758" s="12"/>
    </row>
    <row r="759" spans="1:19" x14ac:dyDescent="0.25">
      <c r="A759" s="9" t="s">
        <v>571</v>
      </c>
      <c r="B759" s="9" t="s">
        <v>291</v>
      </c>
      <c r="C759" s="4">
        <v>201003329</v>
      </c>
      <c r="D759" s="4" t="s">
        <v>670</v>
      </c>
      <c r="E759" s="4" t="str">
        <f>"071912010"</f>
        <v>071912010</v>
      </c>
      <c r="F759" s="10">
        <v>40323</v>
      </c>
      <c r="G759" s="11">
        <v>50000</v>
      </c>
      <c r="H759" s="11">
        <v>50000</v>
      </c>
      <c r="I759" s="4" t="s">
        <v>407</v>
      </c>
      <c r="J759" s="4" t="s">
        <v>408</v>
      </c>
      <c r="K759" s="11">
        <v>0</v>
      </c>
      <c r="L759" s="4"/>
      <c r="M759" s="4"/>
      <c r="N759" s="11">
        <v>0</v>
      </c>
      <c r="O759" s="4"/>
      <c r="P759" s="4"/>
      <c r="Q759" s="11">
        <v>0</v>
      </c>
      <c r="R759" s="4"/>
      <c r="S759" s="12"/>
    </row>
    <row r="760" spans="1:19" x14ac:dyDescent="0.25">
      <c r="A760" s="9" t="s">
        <v>571</v>
      </c>
      <c r="B760" s="9" t="s">
        <v>291</v>
      </c>
      <c r="C760" s="4">
        <v>201003332</v>
      </c>
      <c r="D760" s="4" t="s">
        <v>671</v>
      </c>
      <c r="E760" s="4" t="str">
        <f>"074242010"</f>
        <v>074242010</v>
      </c>
      <c r="F760" s="10">
        <v>40331</v>
      </c>
      <c r="G760" s="11">
        <v>20000</v>
      </c>
      <c r="H760" s="11">
        <v>20000</v>
      </c>
      <c r="I760" s="4" t="s">
        <v>30</v>
      </c>
      <c r="J760" s="4" t="s">
        <v>31</v>
      </c>
      <c r="K760" s="11">
        <v>0</v>
      </c>
      <c r="L760" s="4"/>
      <c r="M760" s="4"/>
      <c r="N760" s="11">
        <v>0</v>
      </c>
      <c r="O760" s="4"/>
      <c r="P760" s="4"/>
      <c r="Q760" s="11">
        <v>0</v>
      </c>
      <c r="R760" s="4"/>
      <c r="S760" s="12"/>
    </row>
    <row r="761" spans="1:19" x14ac:dyDescent="0.25">
      <c r="A761" s="9" t="s">
        <v>571</v>
      </c>
      <c r="B761" s="9" t="s">
        <v>291</v>
      </c>
      <c r="C761" s="4">
        <v>201003340</v>
      </c>
      <c r="D761" s="4" t="s">
        <v>672</v>
      </c>
      <c r="E761" s="4" t="str">
        <f>"066502010"</f>
        <v>066502010</v>
      </c>
      <c r="F761" s="10">
        <v>40308</v>
      </c>
      <c r="G761" s="11">
        <v>700000</v>
      </c>
      <c r="H761" s="11">
        <v>700000</v>
      </c>
      <c r="I761" s="4" t="s">
        <v>72</v>
      </c>
      <c r="J761" s="4" t="s">
        <v>73</v>
      </c>
      <c r="K761" s="11">
        <v>0</v>
      </c>
      <c r="L761" s="4"/>
      <c r="M761" s="4"/>
      <c r="N761" s="11">
        <v>0</v>
      </c>
      <c r="O761" s="4"/>
      <c r="P761" s="4"/>
      <c r="Q761" s="11">
        <v>0</v>
      </c>
      <c r="R761" s="4"/>
      <c r="S761" s="12"/>
    </row>
    <row r="762" spans="1:19" x14ac:dyDescent="0.25">
      <c r="A762" s="9" t="s">
        <v>571</v>
      </c>
      <c r="B762" s="9" t="s">
        <v>291</v>
      </c>
      <c r="C762" s="4">
        <v>201003378</v>
      </c>
      <c r="D762" s="4" t="s">
        <v>673</v>
      </c>
      <c r="E762" s="4" t="str">
        <f>"067302010"</f>
        <v>067302010</v>
      </c>
      <c r="F762" s="10">
        <v>40311</v>
      </c>
      <c r="G762" s="11">
        <v>250000</v>
      </c>
      <c r="H762" s="11">
        <v>250000</v>
      </c>
      <c r="I762" s="4" t="s">
        <v>72</v>
      </c>
      <c r="J762" s="4" t="s">
        <v>73</v>
      </c>
      <c r="K762" s="11">
        <v>0</v>
      </c>
      <c r="L762" s="4"/>
      <c r="M762" s="4"/>
      <c r="N762" s="11">
        <v>0</v>
      </c>
      <c r="O762" s="4"/>
      <c r="P762" s="4"/>
      <c r="Q762" s="11">
        <v>0</v>
      </c>
      <c r="R762" s="4"/>
      <c r="S762" s="12"/>
    </row>
    <row r="763" spans="1:19" x14ac:dyDescent="0.25">
      <c r="A763" s="9" t="s">
        <v>571</v>
      </c>
      <c r="B763" s="9" t="s">
        <v>291</v>
      </c>
      <c r="C763" s="4">
        <v>201003452</v>
      </c>
      <c r="D763" s="4" t="s">
        <v>674</v>
      </c>
      <c r="E763" s="4" t="str">
        <f>"068862010"</f>
        <v>068862010</v>
      </c>
      <c r="F763" s="10">
        <v>40318</v>
      </c>
      <c r="G763" s="11">
        <v>10000</v>
      </c>
      <c r="H763" s="11">
        <v>10000</v>
      </c>
      <c r="I763" s="4" t="s">
        <v>68</v>
      </c>
      <c r="J763" s="4" t="s">
        <v>69</v>
      </c>
      <c r="K763" s="11">
        <v>0</v>
      </c>
      <c r="L763" s="4"/>
      <c r="M763" s="4"/>
      <c r="N763" s="11">
        <v>0</v>
      </c>
      <c r="O763" s="4"/>
      <c r="P763" s="4"/>
      <c r="Q763" s="11">
        <v>0</v>
      </c>
      <c r="R763" s="4"/>
      <c r="S763" s="12"/>
    </row>
    <row r="764" spans="1:19" x14ac:dyDescent="0.25">
      <c r="A764" s="9" t="s">
        <v>571</v>
      </c>
      <c r="B764" s="9" t="s">
        <v>291</v>
      </c>
      <c r="C764" s="4">
        <v>201003477</v>
      </c>
      <c r="D764" s="4" t="s">
        <v>675</v>
      </c>
      <c r="E764" s="4" t="str">
        <f>"069502010"</f>
        <v>069502010</v>
      </c>
      <c r="F764" s="10">
        <v>40312</v>
      </c>
      <c r="G764" s="11">
        <v>200000</v>
      </c>
      <c r="H764" s="11">
        <v>200000</v>
      </c>
      <c r="I764" s="4" t="s">
        <v>72</v>
      </c>
      <c r="J764" s="4" t="s">
        <v>73</v>
      </c>
      <c r="K764" s="11">
        <v>0</v>
      </c>
      <c r="L764" s="4"/>
      <c r="M764" s="4"/>
      <c r="N764" s="11">
        <v>0</v>
      </c>
      <c r="O764" s="4"/>
      <c r="P764" s="4"/>
      <c r="Q764" s="11">
        <v>0</v>
      </c>
      <c r="R764" s="4"/>
      <c r="S764" s="12"/>
    </row>
    <row r="765" spans="1:19" x14ac:dyDescent="0.25">
      <c r="A765" s="9" t="s">
        <v>571</v>
      </c>
      <c r="B765" s="9" t="s">
        <v>291</v>
      </c>
      <c r="C765" s="4">
        <v>201003503</v>
      </c>
      <c r="D765" s="4" t="s">
        <v>676</v>
      </c>
      <c r="E765" s="4" t="str">
        <f>"072832010"</f>
        <v>072832010</v>
      </c>
      <c r="F765" s="10">
        <v>40323</v>
      </c>
      <c r="G765" s="11">
        <v>250000</v>
      </c>
      <c r="H765" s="11">
        <v>250000</v>
      </c>
      <c r="I765" s="4" t="s">
        <v>72</v>
      </c>
      <c r="J765" s="4" t="s">
        <v>73</v>
      </c>
      <c r="K765" s="11">
        <v>0</v>
      </c>
      <c r="L765" s="4"/>
      <c r="M765" s="4"/>
      <c r="N765" s="11">
        <v>0</v>
      </c>
      <c r="O765" s="4"/>
      <c r="P765" s="4"/>
      <c r="Q765" s="11">
        <v>0</v>
      </c>
      <c r="R765" s="4"/>
      <c r="S765" s="12"/>
    </row>
    <row r="766" spans="1:19" x14ac:dyDescent="0.25">
      <c r="A766" s="9" t="s">
        <v>571</v>
      </c>
      <c r="B766" s="9" t="s">
        <v>291</v>
      </c>
      <c r="C766" s="4">
        <v>201003532</v>
      </c>
      <c r="D766" s="4" t="s">
        <v>677</v>
      </c>
      <c r="E766" s="4" t="str">
        <f>"073032010"</f>
        <v>073032010</v>
      </c>
      <c r="F766" s="10">
        <v>40323</v>
      </c>
      <c r="G766" s="11">
        <v>150000</v>
      </c>
      <c r="H766" s="11">
        <v>150000</v>
      </c>
      <c r="I766" s="4" t="s">
        <v>72</v>
      </c>
      <c r="J766" s="4" t="s">
        <v>73</v>
      </c>
      <c r="K766" s="11">
        <v>0</v>
      </c>
      <c r="L766" s="4"/>
      <c r="M766" s="4"/>
      <c r="N766" s="11">
        <v>0</v>
      </c>
      <c r="O766" s="4"/>
      <c r="P766" s="4"/>
      <c r="Q766" s="11">
        <v>0</v>
      </c>
      <c r="R766" s="4"/>
      <c r="S766" s="12"/>
    </row>
    <row r="767" spans="1:19" x14ac:dyDescent="0.25">
      <c r="A767" s="9" t="s">
        <v>571</v>
      </c>
      <c r="B767" s="9" t="s">
        <v>291</v>
      </c>
      <c r="C767" s="4">
        <v>201003537</v>
      </c>
      <c r="D767" s="4" t="s">
        <v>678</v>
      </c>
      <c r="E767" s="4" t="str">
        <f>"070392010"</f>
        <v>070392010</v>
      </c>
      <c r="F767" s="10">
        <v>40323</v>
      </c>
      <c r="G767" s="11">
        <v>317500</v>
      </c>
      <c r="H767" s="11">
        <v>317500</v>
      </c>
      <c r="I767" s="4" t="s">
        <v>72</v>
      </c>
      <c r="J767" s="4" t="s">
        <v>73</v>
      </c>
      <c r="K767" s="11">
        <v>0</v>
      </c>
      <c r="L767" s="4"/>
      <c r="M767" s="4"/>
      <c r="N767" s="11">
        <v>0</v>
      </c>
      <c r="O767" s="4"/>
      <c r="P767" s="4"/>
      <c r="Q767" s="11">
        <v>0</v>
      </c>
      <c r="R767" s="4"/>
      <c r="S767" s="12"/>
    </row>
    <row r="768" spans="1:19" x14ac:dyDescent="0.25">
      <c r="A768" s="9" t="s">
        <v>571</v>
      </c>
      <c r="B768" s="9" t="s">
        <v>291</v>
      </c>
      <c r="C768" s="4">
        <v>201003541</v>
      </c>
      <c r="D768" s="4" t="s">
        <v>679</v>
      </c>
      <c r="E768" s="4" t="str">
        <f>"074842010"</f>
        <v>074842010</v>
      </c>
      <c r="F768" s="10">
        <v>40331</v>
      </c>
      <c r="G768" s="11">
        <v>30000</v>
      </c>
      <c r="H768" s="11">
        <v>30000</v>
      </c>
      <c r="I768" s="4" t="s">
        <v>72</v>
      </c>
      <c r="J768" s="4" t="s">
        <v>73</v>
      </c>
      <c r="K768" s="11">
        <v>0</v>
      </c>
      <c r="L768" s="4"/>
      <c r="M768" s="4"/>
      <c r="N768" s="11">
        <v>0</v>
      </c>
      <c r="O768" s="4"/>
      <c r="P768" s="4"/>
      <c r="Q768" s="11">
        <v>0</v>
      </c>
      <c r="R768" s="4"/>
      <c r="S768" s="12"/>
    </row>
    <row r="769" spans="1:19" x14ac:dyDescent="0.25">
      <c r="A769" s="9" t="s">
        <v>571</v>
      </c>
      <c r="B769" s="9" t="s">
        <v>571</v>
      </c>
      <c r="C769" s="4">
        <v>201003546</v>
      </c>
      <c r="D769" s="4" t="s">
        <v>680</v>
      </c>
      <c r="E769" s="4" t="str">
        <f>"070332010"</f>
        <v>070332010</v>
      </c>
      <c r="F769" s="10">
        <v>40316</v>
      </c>
      <c r="G769" s="11">
        <v>33049.949999999997</v>
      </c>
      <c r="H769" s="11">
        <v>33000</v>
      </c>
      <c r="I769" s="4" t="s">
        <v>98</v>
      </c>
      <c r="J769" s="4" t="s">
        <v>99</v>
      </c>
      <c r="K769" s="11">
        <v>0</v>
      </c>
      <c r="L769" s="4"/>
      <c r="M769" s="4"/>
      <c r="N769" s="11">
        <v>0</v>
      </c>
      <c r="O769" s="4"/>
      <c r="P769" s="4"/>
      <c r="Q769" s="11">
        <v>49.95</v>
      </c>
      <c r="R769" s="4" t="s">
        <v>98</v>
      </c>
      <c r="S769" s="12" t="s">
        <v>99</v>
      </c>
    </row>
    <row r="770" spans="1:19" x14ac:dyDescent="0.25">
      <c r="A770" s="9" t="s">
        <v>571</v>
      </c>
      <c r="B770" s="9" t="s">
        <v>291</v>
      </c>
      <c r="C770" s="4">
        <v>201003566</v>
      </c>
      <c r="D770" s="4"/>
      <c r="E770" s="4" t="str">
        <f>"070892010"</f>
        <v>070892010</v>
      </c>
      <c r="F770" s="10">
        <v>40319</v>
      </c>
      <c r="G770" s="11">
        <v>6500</v>
      </c>
      <c r="H770" s="11">
        <v>6500</v>
      </c>
      <c r="I770" s="4" t="s">
        <v>68</v>
      </c>
      <c r="J770" s="4" t="s">
        <v>69</v>
      </c>
      <c r="K770" s="11">
        <v>0</v>
      </c>
      <c r="L770" s="4"/>
      <c r="M770" s="4"/>
      <c r="N770" s="11">
        <v>0</v>
      </c>
      <c r="O770" s="4"/>
      <c r="P770" s="4"/>
      <c r="Q770" s="11">
        <v>0</v>
      </c>
      <c r="R770" s="4"/>
      <c r="S770" s="12"/>
    </row>
    <row r="771" spans="1:19" x14ac:dyDescent="0.25">
      <c r="A771" s="9" t="s">
        <v>571</v>
      </c>
      <c r="B771" s="9" t="s">
        <v>291</v>
      </c>
      <c r="C771" s="4">
        <v>201003638</v>
      </c>
      <c r="D771" s="4" t="s">
        <v>681</v>
      </c>
      <c r="E771" s="4" t="str">
        <f>"071932010"</f>
        <v>071932010</v>
      </c>
      <c r="F771" s="10">
        <v>40323</v>
      </c>
      <c r="G771" s="11">
        <v>1000000</v>
      </c>
      <c r="H771" s="11">
        <v>1000000</v>
      </c>
      <c r="I771" s="4" t="s">
        <v>72</v>
      </c>
      <c r="J771" s="4" t="s">
        <v>73</v>
      </c>
      <c r="K771" s="11">
        <v>0</v>
      </c>
      <c r="L771" s="4"/>
      <c r="M771" s="4"/>
      <c r="N771" s="11">
        <v>0</v>
      </c>
      <c r="O771" s="4"/>
      <c r="P771" s="4"/>
      <c r="Q771" s="11">
        <v>0</v>
      </c>
      <c r="R771" s="4"/>
      <c r="S771" s="12"/>
    </row>
    <row r="772" spans="1:19" x14ac:dyDescent="0.25">
      <c r="A772" s="9" t="s">
        <v>571</v>
      </c>
      <c r="B772" s="9" t="s">
        <v>291</v>
      </c>
      <c r="C772" s="4">
        <v>201003645</v>
      </c>
      <c r="D772" s="4" t="s">
        <v>682</v>
      </c>
      <c r="E772" s="4" t="str">
        <f>"073702010"</f>
        <v>073702010</v>
      </c>
      <c r="F772" s="10">
        <v>40324</v>
      </c>
      <c r="G772" s="11">
        <v>325000</v>
      </c>
      <c r="H772" s="11">
        <v>325000</v>
      </c>
      <c r="I772" s="4" t="s">
        <v>72</v>
      </c>
      <c r="J772" s="4" t="s">
        <v>73</v>
      </c>
      <c r="K772" s="11">
        <v>0</v>
      </c>
      <c r="L772" s="4"/>
      <c r="M772" s="4"/>
      <c r="N772" s="11">
        <v>0</v>
      </c>
      <c r="O772" s="4"/>
      <c r="P772" s="4"/>
      <c r="Q772" s="11">
        <v>0</v>
      </c>
      <c r="R772" s="4"/>
      <c r="S772" s="12"/>
    </row>
    <row r="773" spans="1:19" x14ac:dyDescent="0.25">
      <c r="A773" s="9" t="s">
        <v>571</v>
      </c>
      <c r="B773" s="9" t="s">
        <v>291</v>
      </c>
      <c r="C773" s="4">
        <v>201003649</v>
      </c>
      <c r="D773" s="4" t="s">
        <v>683</v>
      </c>
      <c r="E773" s="4" t="str">
        <f>"072692010"</f>
        <v>072692010</v>
      </c>
      <c r="F773" s="10">
        <v>40323</v>
      </c>
      <c r="G773" s="11">
        <v>100000</v>
      </c>
      <c r="H773" s="11">
        <v>100000</v>
      </c>
      <c r="I773" s="4" t="s">
        <v>72</v>
      </c>
      <c r="J773" s="4" t="s">
        <v>73</v>
      </c>
      <c r="K773" s="11">
        <v>0</v>
      </c>
      <c r="L773" s="4"/>
      <c r="M773" s="4"/>
      <c r="N773" s="11">
        <v>0</v>
      </c>
      <c r="O773" s="4"/>
      <c r="P773" s="4"/>
      <c r="Q773" s="11">
        <v>0</v>
      </c>
      <c r="R773" s="4"/>
      <c r="S773" s="12"/>
    </row>
    <row r="774" spans="1:19" x14ac:dyDescent="0.25">
      <c r="A774" s="9" t="s">
        <v>571</v>
      </c>
      <c r="B774" s="9" t="s">
        <v>291</v>
      </c>
      <c r="C774" s="4">
        <v>201003656</v>
      </c>
      <c r="D774" s="4" t="s">
        <v>684</v>
      </c>
      <c r="E774" s="4" t="str">
        <f>"072672010"</f>
        <v>072672010</v>
      </c>
      <c r="F774" s="10">
        <v>40323</v>
      </c>
      <c r="G774" s="11">
        <v>300000</v>
      </c>
      <c r="H774" s="11">
        <v>300000</v>
      </c>
      <c r="I774" s="4" t="s">
        <v>72</v>
      </c>
      <c r="J774" s="4" t="s">
        <v>73</v>
      </c>
      <c r="K774" s="11">
        <v>0</v>
      </c>
      <c r="L774" s="4"/>
      <c r="M774" s="4"/>
      <c r="N774" s="11">
        <v>0</v>
      </c>
      <c r="O774" s="4"/>
      <c r="P774" s="4"/>
      <c r="Q774" s="11">
        <v>0</v>
      </c>
      <c r="R774" s="4"/>
      <c r="S774" s="12"/>
    </row>
    <row r="775" spans="1:19" x14ac:dyDescent="0.25">
      <c r="A775" s="9" t="s">
        <v>571</v>
      </c>
      <c r="B775" s="9" t="s">
        <v>291</v>
      </c>
      <c r="C775" s="4">
        <v>201003836</v>
      </c>
      <c r="D775" s="4" t="s">
        <v>685</v>
      </c>
      <c r="E775" s="4" t="str">
        <f>"081042010"</f>
        <v>081042010</v>
      </c>
      <c r="F775" s="10">
        <v>40346</v>
      </c>
      <c r="G775" s="11">
        <v>3000000</v>
      </c>
      <c r="H775" s="11">
        <v>3000000</v>
      </c>
      <c r="I775" s="4" t="s">
        <v>72</v>
      </c>
      <c r="J775" s="4" t="s">
        <v>73</v>
      </c>
      <c r="K775" s="11">
        <v>0</v>
      </c>
      <c r="L775" s="4"/>
      <c r="M775" s="4"/>
      <c r="N775" s="11">
        <v>0</v>
      </c>
      <c r="O775" s="4"/>
      <c r="P775" s="4"/>
      <c r="Q775" s="11">
        <v>0</v>
      </c>
      <c r="R775" s="4"/>
      <c r="S775" s="12"/>
    </row>
    <row r="776" spans="1:19" x14ac:dyDescent="0.25">
      <c r="A776" s="9" t="s">
        <v>571</v>
      </c>
      <c r="B776" s="9" t="s">
        <v>291</v>
      </c>
      <c r="C776" s="4">
        <v>201003844</v>
      </c>
      <c r="D776" s="4"/>
      <c r="E776" s="4" t="str">
        <f>"076292010"</f>
        <v>076292010</v>
      </c>
      <c r="F776" s="10">
        <v>40333</v>
      </c>
      <c r="G776" s="11">
        <v>137500</v>
      </c>
      <c r="H776" s="11">
        <v>137500</v>
      </c>
      <c r="I776" s="4" t="s">
        <v>72</v>
      </c>
      <c r="J776" s="4" t="s">
        <v>73</v>
      </c>
      <c r="K776" s="11">
        <v>0</v>
      </c>
      <c r="L776" s="4"/>
      <c r="M776" s="4"/>
      <c r="N776" s="11">
        <v>0</v>
      </c>
      <c r="O776" s="4"/>
      <c r="P776" s="4"/>
      <c r="Q776" s="11">
        <v>0</v>
      </c>
      <c r="R776" s="4"/>
      <c r="S776" s="12"/>
    </row>
    <row r="777" spans="1:19" x14ac:dyDescent="0.25">
      <c r="A777" s="9" t="s">
        <v>571</v>
      </c>
      <c r="B777" s="9" t="s">
        <v>291</v>
      </c>
      <c r="C777" s="4">
        <v>201003861</v>
      </c>
      <c r="D777" s="4" t="s">
        <v>686</v>
      </c>
      <c r="E777" s="4" t="str">
        <f>"082172010"</f>
        <v>082172010</v>
      </c>
      <c r="F777" s="10">
        <v>40354</v>
      </c>
      <c r="G777" s="11">
        <v>12500</v>
      </c>
      <c r="H777" s="11">
        <v>12500</v>
      </c>
      <c r="I777" s="4" t="s">
        <v>687</v>
      </c>
      <c r="J777" s="4" t="s">
        <v>688</v>
      </c>
      <c r="K777" s="11">
        <v>0</v>
      </c>
      <c r="L777" s="4"/>
      <c r="M777" s="4"/>
      <c r="N777" s="11">
        <v>0</v>
      </c>
      <c r="O777" s="4"/>
      <c r="P777" s="4"/>
      <c r="Q777" s="11">
        <v>0</v>
      </c>
      <c r="R777" s="4"/>
      <c r="S777" s="12"/>
    </row>
    <row r="778" spans="1:19" x14ac:dyDescent="0.25">
      <c r="A778" s="9" t="s">
        <v>571</v>
      </c>
      <c r="B778" s="9" t="s">
        <v>291</v>
      </c>
      <c r="C778" s="4">
        <v>201003861</v>
      </c>
      <c r="D778" s="4" t="s">
        <v>686</v>
      </c>
      <c r="E778" s="4" t="str">
        <f>"082192010"</f>
        <v>082192010</v>
      </c>
      <c r="F778" s="10">
        <v>40354</v>
      </c>
      <c r="G778" s="11">
        <v>12500</v>
      </c>
      <c r="H778" s="11">
        <v>12500</v>
      </c>
      <c r="I778" s="4" t="s">
        <v>687</v>
      </c>
      <c r="J778" s="4" t="s">
        <v>688</v>
      </c>
      <c r="K778" s="11">
        <v>0</v>
      </c>
      <c r="L778" s="4"/>
      <c r="M778" s="4"/>
      <c r="N778" s="11">
        <v>0</v>
      </c>
      <c r="O778" s="4"/>
      <c r="P778" s="4"/>
      <c r="Q778" s="11">
        <v>0</v>
      </c>
      <c r="R778" s="4"/>
      <c r="S778" s="12"/>
    </row>
    <row r="779" spans="1:19" x14ac:dyDescent="0.25">
      <c r="A779" s="9" t="s">
        <v>571</v>
      </c>
      <c r="B779" s="9" t="s">
        <v>291</v>
      </c>
      <c r="C779" s="4">
        <v>201003867</v>
      </c>
      <c r="D779" s="4" t="s">
        <v>689</v>
      </c>
      <c r="E779" s="4" t="str">
        <f>"078312010"</f>
        <v>078312010</v>
      </c>
      <c r="F779" s="10">
        <v>40340</v>
      </c>
      <c r="G779" s="11">
        <v>31300</v>
      </c>
      <c r="H779" s="11">
        <v>31300</v>
      </c>
      <c r="I779" s="4" t="s">
        <v>38</v>
      </c>
      <c r="J779" s="4" t="s">
        <v>39</v>
      </c>
      <c r="K779" s="11">
        <v>0</v>
      </c>
      <c r="L779" s="4"/>
      <c r="M779" s="4"/>
      <c r="N779" s="11">
        <v>0</v>
      </c>
      <c r="O779" s="4"/>
      <c r="P779" s="4"/>
      <c r="Q779" s="11">
        <v>0</v>
      </c>
      <c r="R779" s="4"/>
      <c r="S779" s="12"/>
    </row>
    <row r="780" spans="1:19" x14ac:dyDescent="0.25">
      <c r="A780" s="9" t="s">
        <v>571</v>
      </c>
      <c r="B780" s="9" t="s">
        <v>291</v>
      </c>
      <c r="C780" s="4">
        <v>201003940</v>
      </c>
      <c r="D780" s="4" t="s">
        <v>690</v>
      </c>
      <c r="E780" s="4" t="str">
        <f>"079162010"</f>
        <v>079162010</v>
      </c>
      <c r="F780" s="10">
        <v>40344</v>
      </c>
      <c r="G780" s="11">
        <v>215000</v>
      </c>
      <c r="H780" s="11">
        <v>215000</v>
      </c>
      <c r="I780" s="4" t="s">
        <v>72</v>
      </c>
      <c r="J780" s="4" t="s">
        <v>73</v>
      </c>
      <c r="K780" s="11">
        <v>0</v>
      </c>
      <c r="L780" s="4"/>
      <c r="M780" s="4"/>
      <c r="N780" s="11">
        <v>0</v>
      </c>
      <c r="O780" s="4"/>
      <c r="P780" s="4"/>
      <c r="Q780" s="11">
        <v>0</v>
      </c>
      <c r="R780" s="4"/>
      <c r="S780" s="12"/>
    </row>
    <row r="781" spans="1:19" x14ac:dyDescent="0.25">
      <c r="A781" s="9" t="s">
        <v>571</v>
      </c>
      <c r="B781" s="9" t="s">
        <v>291</v>
      </c>
      <c r="C781" s="4">
        <v>201003951</v>
      </c>
      <c r="D781" s="4" t="s">
        <v>691</v>
      </c>
      <c r="E781" s="4" t="str">
        <f>"078712010"</f>
        <v>078712010</v>
      </c>
      <c r="F781" s="10">
        <v>40340</v>
      </c>
      <c r="G781" s="11">
        <v>500000</v>
      </c>
      <c r="H781" s="11">
        <v>500000</v>
      </c>
      <c r="I781" s="4" t="s">
        <v>72</v>
      </c>
      <c r="J781" s="4" t="s">
        <v>73</v>
      </c>
      <c r="K781" s="11">
        <v>0</v>
      </c>
      <c r="L781" s="4"/>
      <c r="M781" s="4"/>
      <c r="N781" s="11">
        <v>0</v>
      </c>
      <c r="O781" s="4"/>
      <c r="P781" s="4"/>
      <c r="Q781" s="11">
        <v>0</v>
      </c>
      <c r="R781" s="4"/>
      <c r="S781" s="12"/>
    </row>
    <row r="782" spans="1:19" x14ac:dyDescent="0.25">
      <c r="A782" s="9" t="s">
        <v>571</v>
      </c>
      <c r="B782" s="9" t="s">
        <v>291</v>
      </c>
      <c r="C782" s="4">
        <v>201003986</v>
      </c>
      <c r="D782" s="4" t="s">
        <v>692</v>
      </c>
      <c r="E782" s="4" t="str">
        <f>"082312010"</f>
        <v>082312010</v>
      </c>
      <c r="F782" s="10">
        <v>40351</v>
      </c>
      <c r="G782" s="11">
        <v>3808892</v>
      </c>
      <c r="H782" s="11">
        <v>3808892</v>
      </c>
      <c r="I782" s="4" t="s">
        <v>72</v>
      </c>
      <c r="J782" s="4" t="s">
        <v>73</v>
      </c>
      <c r="K782" s="11">
        <v>0</v>
      </c>
      <c r="L782" s="4"/>
      <c r="M782" s="4"/>
      <c r="N782" s="11">
        <v>0</v>
      </c>
      <c r="O782" s="4"/>
      <c r="P782" s="4"/>
      <c r="Q782" s="11">
        <v>0</v>
      </c>
      <c r="R782" s="4"/>
      <c r="S782" s="12"/>
    </row>
    <row r="783" spans="1:19" x14ac:dyDescent="0.25">
      <c r="A783" s="9" t="s">
        <v>571</v>
      </c>
      <c r="B783" s="9" t="s">
        <v>291</v>
      </c>
      <c r="C783" s="4">
        <v>201004024</v>
      </c>
      <c r="D783" s="4" t="s">
        <v>693</v>
      </c>
      <c r="E783" s="4" t="str">
        <f>"078252010"</f>
        <v>078252010</v>
      </c>
      <c r="F783" s="10">
        <v>40340</v>
      </c>
      <c r="G783" s="11">
        <v>250000</v>
      </c>
      <c r="H783" s="11">
        <v>250000</v>
      </c>
      <c r="I783" s="4" t="s">
        <v>72</v>
      </c>
      <c r="J783" s="4" t="s">
        <v>73</v>
      </c>
      <c r="K783" s="11">
        <v>0</v>
      </c>
      <c r="L783" s="4"/>
      <c r="M783" s="4"/>
      <c r="N783" s="11">
        <v>0</v>
      </c>
      <c r="O783" s="4"/>
      <c r="P783" s="4"/>
      <c r="Q783" s="11">
        <v>0</v>
      </c>
      <c r="R783" s="4"/>
      <c r="S783" s="12"/>
    </row>
    <row r="784" spans="1:19" x14ac:dyDescent="0.25">
      <c r="A784" s="9" t="s">
        <v>571</v>
      </c>
      <c r="B784" s="9" t="s">
        <v>291</v>
      </c>
      <c r="C784" s="4">
        <v>201004024</v>
      </c>
      <c r="D784" s="4" t="s">
        <v>693</v>
      </c>
      <c r="E784" s="4" t="str">
        <f>"078272010"</f>
        <v>078272010</v>
      </c>
      <c r="F784" s="10">
        <v>40340</v>
      </c>
      <c r="G784" s="11">
        <v>500000</v>
      </c>
      <c r="H784" s="11">
        <v>500000</v>
      </c>
      <c r="I784" s="4" t="s">
        <v>72</v>
      </c>
      <c r="J784" s="4" t="s">
        <v>73</v>
      </c>
      <c r="K784" s="11">
        <v>0</v>
      </c>
      <c r="L784" s="4"/>
      <c r="M784" s="4"/>
      <c r="N784" s="11">
        <v>0</v>
      </c>
      <c r="O784" s="4"/>
      <c r="P784" s="4"/>
      <c r="Q784" s="11">
        <v>0</v>
      </c>
      <c r="R784" s="4"/>
      <c r="S784" s="12"/>
    </row>
    <row r="785" spans="1:19" x14ac:dyDescent="0.25">
      <c r="A785" s="9" t="s">
        <v>571</v>
      </c>
      <c r="B785" s="9" t="s">
        <v>291</v>
      </c>
      <c r="C785" s="4">
        <v>201004062</v>
      </c>
      <c r="D785" s="4"/>
      <c r="E785" s="4" t="str">
        <f>"080842010"</f>
        <v>080842010</v>
      </c>
      <c r="F785" s="10">
        <v>40346</v>
      </c>
      <c r="G785" s="11">
        <v>407</v>
      </c>
      <c r="H785" s="11">
        <v>407</v>
      </c>
      <c r="I785" s="4" t="s">
        <v>694</v>
      </c>
      <c r="J785" s="4" t="s">
        <v>695</v>
      </c>
      <c r="K785" s="11">
        <v>0</v>
      </c>
      <c r="L785" s="4"/>
      <c r="M785" s="4"/>
      <c r="N785" s="11">
        <v>0</v>
      </c>
      <c r="O785" s="4"/>
      <c r="P785" s="4"/>
      <c r="Q785" s="11">
        <v>0</v>
      </c>
      <c r="R785" s="4"/>
      <c r="S785" s="12"/>
    </row>
    <row r="786" spans="1:19" x14ac:dyDescent="0.25">
      <c r="A786" s="9" t="s">
        <v>571</v>
      </c>
      <c r="B786" s="9" t="s">
        <v>291</v>
      </c>
      <c r="C786" s="4">
        <v>201004123</v>
      </c>
      <c r="D786" s="4" t="s">
        <v>696</v>
      </c>
      <c r="E786" s="4" t="str">
        <f>"085202010"</f>
        <v>085202010</v>
      </c>
      <c r="F786" s="10">
        <v>40353</v>
      </c>
      <c r="G786" s="11">
        <v>3000</v>
      </c>
      <c r="H786" s="11">
        <v>3000</v>
      </c>
      <c r="I786" s="4" t="s">
        <v>30</v>
      </c>
      <c r="J786" s="4" t="s">
        <v>31</v>
      </c>
      <c r="K786" s="11">
        <v>0</v>
      </c>
      <c r="L786" s="4"/>
      <c r="M786" s="4"/>
      <c r="N786" s="11">
        <v>0</v>
      </c>
      <c r="O786" s="4"/>
      <c r="P786" s="4"/>
      <c r="Q786" s="11">
        <v>0</v>
      </c>
      <c r="R786" s="4"/>
      <c r="S786" s="12"/>
    </row>
    <row r="787" spans="1:19" x14ac:dyDescent="0.25">
      <c r="A787" s="9" t="s">
        <v>571</v>
      </c>
      <c r="B787" s="9" t="s">
        <v>291</v>
      </c>
      <c r="C787" s="4">
        <v>201004134</v>
      </c>
      <c r="D787" s="4" t="s">
        <v>697</v>
      </c>
      <c r="E787" s="4" t="str">
        <f>"082392010"</f>
        <v>082392010</v>
      </c>
      <c r="F787" s="10">
        <v>40354</v>
      </c>
      <c r="G787" s="11">
        <v>975000</v>
      </c>
      <c r="H787" s="11">
        <v>975000</v>
      </c>
      <c r="I787" s="4" t="s">
        <v>72</v>
      </c>
      <c r="J787" s="4" t="s">
        <v>73</v>
      </c>
      <c r="K787" s="11">
        <v>0</v>
      </c>
      <c r="L787" s="4"/>
      <c r="M787" s="4"/>
      <c r="N787" s="11">
        <v>0</v>
      </c>
      <c r="O787" s="4"/>
      <c r="P787" s="4"/>
      <c r="Q787" s="11">
        <v>0</v>
      </c>
      <c r="R787" s="4"/>
      <c r="S787" s="12"/>
    </row>
    <row r="788" spans="1:19" x14ac:dyDescent="0.25">
      <c r="A788" s="9" t="s">
        <v>571</v>
      </c>
      <c r="B788" s="9" t="s">
        <v>291</v>
      </c>
      <c r="C788" s="4">
        <v>201004144</v>
      </c>
      <c r="D788" s="4" t="s">
        <v>698</v>
      </c>
      <c r="E788" s="4" t="str">
        <f>"082082010"</f>
        <v>082082010</v>
      </c>
      <c r="F788" s="10">
        <v>40354</v>
      </c>
      <c r="G788" s="11">
        <v>15000</v>
      </c>
      <c r="H788" s="11">
        <v>15000</v>
      </c>
      <c r="I788" s="4" t="s">
        <v>23</v>
      </c>
      <c r="J788" s="4" t="s">
        <v>24</v>
      </c>
      <c r="K788" s="11">
        <v>0</v>
      </c>
      <c r="L788" s="4"/>
      <c r="M788" s="4"/>
      <c r="N788" s="11">
        <v>0</v>
      </c>
      <c r="O788" s="4"/>
      <c r="P788" s="4"/>
      <c r="Q788" s="11">
        <v>0</v>
      </c>
      <c r="R788" s="4"/>
      <c r="S788" s="12"/>
    </row>
    <row r="789" spans="1:19" x14ac:dyDescent="0.25">
      <c r="A789" s="9" t="s">
        <v>571</v>
      </c>
      <c r="B789" s="9" t="s">
        <v>291</v>
      </c>
      <c r="C789" s="4">
        <v>201004273</v>
      </c>
      <c r="D789" s="4" t="s">
        <v>699</v>
      </c>
      <c r="E789" s="4" t="str">
        <f>"084762010"</f>
        <v>084762010</v>
      </c>
      <c r="F789" s="10">
        <v>40357</v>
      </c>
      <c r="G789" s="11">
        <v>150000</v>
      </c>
      <c r="H789" s="11">
        <v>150000</v>
      </c>
      <c r="I789" s="4" t="s">
        <v>72</v>
      </c>
      <c r="J789" s="4" t="s">
        <v>73</v>
      </c>
      <c r="K789" s="11">
        <v>0</v>
      </c>
      <c r="L789" s="4"/>
      <c r="M789" s="4"/>
      <c r="N789" s="11">
        <v>0</v>
      </c>
      <c r="O789" s="4"/>
      <c r="P789" s="4"/>
      <c r="Q789" s="11">
        <v>0</v>
      </c>
      <c r="R789" s="4"/>
      <c r="S789" s="12"/>
    </row>
    <row r="790" spans="1:19" x14ac:dyDescent="0.25">
      <c r="A790" s="9" t="s">
        <v>571</v>
      </c>
      <c r="B790" s="9" t="s">
        <v>291</v>
      </c>
      <c r="C790" s="4">
        <v>201004273</v>
      </c>
      <c r="D790" s="4" t="s">
        <v>699</v>
      </c>
      <c r="E790" s="4" t="str">
        <f>"084782010"</f>
        <v>084782010</v>
      </c>
      <c r="F790" s="10">
        <v>40357</v>
      </c>
      <c r="G790" s="11">
        <v>625000</v>
      </c>
      <c r="H790" s="11">
        <v>625000</v>
      </c>
      <c r="I790" s="4" t="s">
        <v>72</v>
      </c>
      <c r="J790" s="4" t="s">
        <v>73</v>
      </c>
      <c r="K790" s="11">
        <v>0</v>
      </c>
      <c r="L790" s="4"/>
      <c r="M790" s="4"/>
      <c r="N790" s="11">
        <v>0</v>
      </c>
      <c r="O790" s="4"/>
      <c r="P790" s="4"/>
      <c r="Q790" s="11">
        <v>0</v>
      </c>
      <c r="R790" s="4"/>
      <c r="S790" s="12"/>
    </row>
    <row r="791" spans="1:19" x14ac:dyDescent="0.25">
      <c r="A791" s="9" t="s">
        <v>571</v>
      </c>
      <c r="B791" s="9" t="s">
        <v>291</v>
      </c>
      <c r="C791" s="4">
        <v>201004284</v>
      </c>
      <c r="D791" s="4" t="s">
        <v>700</v>
      </c>
      <c r="E791" s="4" t="str">
        <f>"085682010"</f>
        <v>085682010</v>
      </c>
      <c r="F791" s="10">
        <v>40357</v>
      </c>
      <c r="G791" s="11">
        <v>70000</v>
      </c>
      <c r="H791" s="11">
        <v>70000</v>
      </c>
      <c r="I791" s="4" t="s">
        <v>38</v>
      </c>
      <c r="J791" s="4" t="s">
        <v>39</v>
      </c>
      <c r="K791" s="11">
        <v>0</v>
      </c>
      <c r="L791" s="4"/>
      <c r="M791" s="4"/>
      <c r="N791" s="11">
        <v>0</v>
      </c>
      <c r="O791" s="4"/>
      <c r="P791" s="4"/>
      <c r="Q791" s="11">
        <v>0</v>
      </c>
      <c r="R791" s="4"/>
      <c r="S791" s="12"/>
    </row>
    <row r="792" spans="1:19" x14ac:dyDescent="0.25">
      <c r="A792" s="9" t="s">
        <v>571</v>
      </c>
      <c r="B792" s="9" t="s">
        <v>291</v>
      </c>
      <c r="C792" s="4">
        <v>201004287</v>
      </c>
      <c r="D792" s="4" t="s">
        <v>701</v>
      </c>
      <c r="E792" s="4" t="str">
        <f>"087042010"</f>
        <v>087042010</v>
      </c>
      <c r="F792" s="10">
        <v>40357</v>
      </c>
      <c r="G792" s="11">
        <v>200000</v>
      </c>
      <c r="H792" s="11">
        <v>200000</v>
      </c>
      <c r="I792" s="4" t="s">
        <v>72</v>
      </c>
      <c r="J792" s="4" t="s">
        <v>73</v>
      </c>
      <c r="K792" s="11">
        <v>0</v>
      </c>
      <c r="L792" s="4"/>
      <c r="M792" s="4"/>
      <c r="N792" s="11">
        <v>0</v>
      </c>
      <c r="O792" s="4"/>
      <c r="P792" s="4"/>
      <c r="Q792" s="11">
        <v>0</v>
      </c>
      <c r="R792" s="4"/>
      <c r="S792" s="12"/>
    </row>
    <row r="793" spans="1:19" x14ac:dyDescent="0.25">
      <c r="A793" s="9" t="s">
        <v>571</v>
      </c>
      <c r="B793" s="9" t="s">
        <v>291</v>
      </c>
      <c r="C793" s="4">
        <v>201004301</v>
      </c>
      <c r="D793" s="4" t="s">
        <v>702</v>
      </c>
      <c r="E793" s="4" t="str">
        <f>"087262010"</f>
        <v>087262010</v>
      </c>
      <c r="F793" s="10">
        <v>40357</v>
      </c>
      <c r="G793" s="11">
        <v>275000</v>
      </c>
      <c r="H793" s="11">
        <v>275000</v>
      </c>
      <c r="I793" s="4" t="s">
        <v>72</v>
      </c>
      <c r="J793" s="4" t="s">
        <v>73</v>
      </c>
      <c r="K793" s="11">
        <v>0</v>
      </c>
      <c r="L793" s="4"/>
      <c r="M793" s="4"/>
      <c r="N793" s="11">
        <v>0</v>
      </c>
      <c r="O793" s="4"/>
      <c r="P793" s="4"/>
      <c r="Q793" s="11">
        <v>0</v>
      </c>
      <c r="R793" s="4"/>
      <c r="S793" s="12"/>
    </row>
    <row r="794" spans="1:19" x14ac:dyDescent="0.25">
      <c r="A794" s="9" t="s">
        <v>571</v>
      </c>
      <c r="B794" s="9" t="s">
        <v>291</v>
      </c>
      <c r="C794" s="4">
        <v>201004319</v>
      </c>
      <c r="D794" s="4" t="s">
        <v>703</v>
      </c>
      <c r="E794" s="4" t="str">
        <f>"086402010"</f>
        <v>086402010</v>
      </c>
      <c r="F794" s="10">
        <v>40357</v>
      </c>
      <c r="G794" s="11">
        <v>12000</v>
      </c>
      <c r="H794" s="11">
        <v>12000</v>
      </c>
      <c r="I794" s="4" t="s">
        <v>68</v>
      </c>
      <c r="J794" s="4" t="s">
        <v>69</v>
      </c>
      <c r="K794" s="11">
        <v>0</v>
      </c>
      <c r="L794" s="4"/>
      <c r="M794" s="4"/>
      <c r="N794" s="11">
        <v>0</v>
      </c>
      <c r="O794" s="4"/>
      <c r="P794" s="4"/>
      <c r="Q794" s="11">
        <v>0</v>
      </c>
      <c r="R794" s="4"/>
      <c r="S794" s="12"/>
    </row>
    <row r="795" spans="1:19" x14ac:dyDescent="0.25">
      <c r="A795" s="9" t="s">
        <v>571</v>
      </c>
      <c r="B795" s="9" t="s">
        <v>291</v>
      </c>
      <c r="C795" s="4">
        <v>201004380</v>
      </c>
      <c r="D795" s="4" t="s">
        <v>704</v>
      </c>
      <c r="E795" s="4" t="str">
        <f>"087482010"</f>
        <v>087482010</v>
      </c>
      <c r="F795" s="10">
        <v>40358</v>
      </c>
      <c r="G795" s="11">
        <v>250000</v>
      </c>
      <c r="H795" s="11">
        <v>250000</v>
      </c>
      <c r="I795" s="4" t="s">
        <v>72</v>
      </c>
      <c r="J795" s="4" t="s">
        <v>73</v>
      </c>
      <c r="K795" s="11">
        <v>0</v>
      </c>
      <c r="L795" s="4"/>
      <c r="M795" s="4"/>
      <c r="N795" s="11">
        <v>0</v>
      </c>
      <c r="O795" s="4"/>
      <c r="P795" s="4"/>
      <c r="Q795" s="11">
        <v>0</v>
      </c>
      <c r="R795" s="4"/>
      <c r="S795" s="12"/>
    </row>
    <row r="796" spans="1:19" x14ac:dyDescent="0.25">
      <c r="A796" s="9" t="s">
        <v>571</v>
      </c>
      <c r="B796" s="9" t="s">
        <v>291</v>
      </c>
      <c r="C796" s="4">
        <v>201004417</v>
      </c>
      <c r="D796" s="4"/>
      <c r="E796" s="4" t="str">
        <f>"090442010"</f>
        <v>090442010</v>
      </c>
      <c r="F796" s="10">
        <v>40367</v>
      </c>
      <c r="G796" s="11">
        <v>1500000</v>
      </c>
      <c r="H796" s="11">
        <v>1500000</v>
      </c>
      <c r="I796" s="4" t="s">
        <v>72</v>
      </c>
      <c r="J796" s="4" t="s">
        <v>73</v>
      </c>
      <c r="K796" s="11">
        <v>0</v>
      </c>
      <c r="L796" s="4"/>
      <c r="M796" s="4"/>
      <c r="N796" s="11">
        <v>0</v>
      </c>
      <c r="O796" s="4"/>
      <c r="P796" s="4"/>
      <c r="Q796" s="11">
        <v>0</v>
      </c>
      <c r="R796" s="4"/>
      <c r="S796" s="12"/>
    </row>
    <row r="797" spans="1:19" x14ac:dyDescent="0.25">
      <c r="A797" s="9" t="s">
        <v>571</v>
      </c>
      <c r="B797" s="9" t="s">
        <v>291</v>
      </c>
      <c r="C797" s="4">
        <v>201004527</v>
      </c>
      <c r="D797" s="4" t="s">
        <v>705</v>
      </c>
      <c r="E797" s="4" t="str">
        <f>"090182010"</f>
        <v>090182010</v>
      </c>
      <c r="F797" s="10">
        <v>40367</v>
      </c>
      <c r="G797" s="11">
        <v>950000</v>
      </c>
      <c r="H797" s="11">
        <v>950000</v>
      </c>
      <c r="I797" s="4" t="s">
        <v>72</v>
      </c>
      <c r="J797" s="4" t="s">
        <v>73</v>
      </c>
      <c r="K797" s="11">
        <v>0</v>
      </c>
      <c r="L797" s="4"/>
      <c r="M797" s="4"/>
      <c r="N797" s="11">
        <v>0</v>
      </c>
      <c r="O797" s="4"/>
      <c r="P797" s="4"/>
      <c r="Q797" s="11">
        <v>0</v>
      </c>
      <c r="R797" s="4"/>
      <c r="S797" s="12"/>
    </row>
    <row r="798" spans="1:19" x14ac:dyDescent="0.25">
      <c r="A798" s="9" t="s">
        <v>571</v>
      </c>
      <c r="B798" s="9" t="s">
        <v>291</v>
      </c>
      <c r="C798" s="4">
        <v>201004554</v>
      </c>
      <c r="D798" s="4"/>
      <c r="E798" s="4" t="str">
        <f>"100412010"</f>
        <v>100412010</v>
      </c>
      <c r="F798" s="10">
        <v>40406</v>
      </c>
      <c r="G798" s="11">
        <v>45500</v>
      </c>
      <c r="H798" s="11">
        <v>45500</v>
      </c>
      <c r="I798" s="4" t="s">
        <v>88</v>
      </c>
      <c r="J798" s="4" t="s">
        <v>89</v>
      </c>
      <c r="K798" s="11">
        <v>0</v>
      </c>
      <c r="L798" s="4"/>
      <c r="M798" s="4"/>
      <c r="N798" s="11">
        <v>0</v>
      </c>
      <c r="O798" s="4"/>
      <c r="P798" s="4"/>
      <c r="Q798" s="11">
        <v>0</v>
      </c>
      <c r="R798" s="4"/>
      <c r="S798" s="12"/>
    </row>
    <row r="799" spans="1:19" x14ac:dyDescent="0.25">
      <c r="A799" s="9" t="s">
        <v>571</v>
      </c>
      <c r="B799" s="9" t="s">
        <v>291</v>
      </c>
      <c r="C799" s="4">
        <v>201004557</v>
      </c>
      <c r="D799" s="4" t="s">
        <v>706</v>
      </c>
      <c r="E799" s="4" t="str">
        <f>"092002010"</f>
        <v>092002010</v>
      </c>
      <c r="F799" s="10">
        <v>40373</v>
      </c>
      <c r="G799" s="11">
        <v>15000</v>
      </c>
      <c r="H799" s="11">
        <v>15000</v>
      </c>
      <c r="I799" s="4" t="s">
        <v>707</v>
      </c>
      <c r="J799" s="4" t="s">
        <v>708</v>
      </c>
      <c r="K799" s="11">
        <v>0</v>
      </c>
      <c r="L799" s="4"/>
      <c r="M799" s="4"/>
      <c r="N799" s="11">
        <v>0</v>
      </c>
      <c r="O799" s="4"/>
      <c r="P799" s="4"/>
      <c r="Q799" s="11">
        <v>0</v>
      </c>
      <c r="R799" s="4"/>
      <c r="S799" s="12"/>
    </row>
    <row r="800" spans="1:19" x14ac:dyDescent="0.25">
      <c r="A800" s="9" t="s">
        <v>571</v>
      </c>
      <c r="B800" s="9" t="s">
        <v>291</v>
      </c>
      <c r="C800" s="4">
        <v>201004558</v>
      </c>
      <c r="D800" s="4" t="s">
        <v>709</v>
      </c>
      <c r="E800" s="4" t="str">
        <f>"099922010"</f>
        <v>099922010</v>
      </c>
      <c r="F800" s="10">
        <v>40400</v>
      </c>
      <c r="G800" s="11">
        <v>56741</v>
      </c>
      <c r="H800" s="11">
        <v>56741</v>
      </c>
      <c r="I800" s="4" t="s">
        <v>251</v>
      </c>
      <c r="J800" s="4" t="s">
        <v>252</v>
      </c>
      <c r="K800" s="11">
        <v>0</v>
      </c>
      <c r="L800" s="4"/>
      <c r="M800" s="4"/>
      <c r="N800" s="11">
        <v>0</v>
      </c>
      <c r="O800" s="4"/>
      <c r="P800" s="4"/>
      <c r="Q800" s="11">
        <v>0</v>
      </c>
      <c r="R800" s="4"/>
      <c r="S800" s="12"/>
    </row>
    <row r="801" spans="1:19" x14ac:dyDescent="0.25">
      <c r="A801" s="9" t="s">
        <v>571</v>
      </c>
      <c r="B801" s="9" t="s">
        <v>291</v>
      </c>
      <c r="C801" s="4">
        <v>201004582</v>
      </c>
      <c r="D801" s="4"/>
      <c r="E801" s="4" t="str">
        <f>"099902010"</f>
        <v>099902010</v>
      </c>
      <c r="F801" s="10">
        <v>40400</v>
      </c>
      <c r="G801" s="11">
        <v>20000</v>
      </c>
      <c r="H801" s="11">
        <v>20000</v>
      </c>
      <c r="I801" s="4" t="s">
        <v>72</v>
      </c>
      <c r="J801" s="4" t="s">
        <v>73</v>
      </c>
      <c r="K801" s="11">
        <v>0</v>
      </c>
      <c r="L801" s="4"/>
      <c r="M801" s="4"/>
      <c r="N801" s="11">
        <v>0</v>
      </c>
      <c r="O801" s="4"/>
      <c r="P801" s="4"/>
      <c r="Q801" s="11">
        <v>0</v>
      </c>
      <c r="R801" s="4"/>
      <c r="S801" s="12"/>
    </row>
    <row r="802" spans="1:19" x14ac:dyDescent="0.25">
      <c r="A802" s="9" t="s">
        <v>571</v>
      </c>
      <c r="B802" s="9" t="s">
        <v>291</v>
      </c>
      <c r="C802" s="4">
        <v>201004598</v>
      </c>
      <c r="D802" s="4" t="s">
        <v>710</v>
      </c>
      <c r="E802" s="4" t="str">
        <f>"097292010"</f>
        <v>097292010</v>
      </c>
      <c r="F802" s="10">
        <v>40388</v>
      </c>
      <c r="G802" s="11">
        <v>1532565.42</v>
      </c>
      <c r="H802" s="11">
        <v>1525000</v>
      </c>
      <c r="I802" s="4" t="s">
        <v>72</v>
      </c>
      <c r="J802" s="4" t="s">
        <v>73</v>
      </c>
      <c r="K802" s="11">
        <v>0</v>
      </c>
      <c r="L802" s="4"/>
      <c r="M802" s="4"/>
      <c r="N802" s="11">
        <v>6000.44</v>
      </c>
      <c r="O802" s="4" t="s">
        <v>72</v>
      </c>
      <c r="P802" s="4" t="s">
        <v>73</v>
      </c>
      <c r="Q802" s="11">
        <v>1564.98</v>
      </c>
      <c r="R802" s="4" t="s">
        <v>416</v>
      </c>
      <c r="S802" s="12" t="s">
        <v>417</v>
      </c>
    </row>
    <row r="803" spans="1:19" x14ac:dyDescent="0.25">
      <c r="A803" s="9" t="s">
        <v>571</v>
      </c>
      <c r="B803" s="9" t="s">
        <v>291</v>
      </c>
      <c r="C803" s="4">
        <v>201004612</v>
      </c>
      <c r="D803" s="4" t="s">
        <v>711</v>
      </c>
      <c r="E803" s="4" t="str">
        <f>"093282010"</f>
        <v>093282010</v>
      </c>
      <c r="F803" s="10">
        <v>40374</v>
      </c>
      <c r="G803" s="11">
        <v>976.75</v>
      </c>
      <c r="H803" s="11">
        <v>0</v>
      </c>
      <c r="I803" s="4" t="s">
        <v>72</v>
      </c>
      <c r="J803" s="4" t="s">
        <v>73</v>
      </c>
      <c r="K803" s="11">
        <v>0</v>
      </c>
      <c r="L803" s="4"/>
      <c r="M803" s="4"/>
      <c r="N803" s="11">
        <v>0</v>
      </c>
      <c r="O803" s="4"/>
      <c r="P803" s="4"/>
      <c r="Q803" s="11">
        <v>976.75</v>
      </c>
      <c r="R803" s="4" t="s">
        <v>416</v>
      </c>
      <c r="S803" s="12" t="s">
        <v>417</v>
      </c>
    </row>
    <row r="804" spans="1:19" x14ac:dyDescent="0.25">
      <c r="A804" s="9" t="s">
        <v>571</v>
      </c>
      <c r="B804" s="9" t="s">
        <v>291</v>
      </c>
      <c r="C804" s="4">
        <v>201004618</v>
      </c>
      <c r="D804" s="4" t="s">
        <v>712</v>
      </c>
      <c r="E804" s="4" t="str">
        <f>"091872010"</f>
        <v>091872010</v>
      </c>
      <c r="F804" s="10">
        <v>40372</v>
      </c>
      <c r="G804" s="11">
        <v>550000</v>
      </c>
      <c r="H804" s="11">
        <v>550000</v>
      </c>
      <c r="I804" s="4" t="s">
        <v>72</v>
      </c>
      <c r="J804" s="4" t="s">
        <v>73</v>
      </c>
      <c r="K804" s="11">
        <v>0</v>
      </c>
      <c r="L804" s="4"/>
      <c r="M804" s="4"/>
      <c r="N804" s="11">
        <v>0</v>
      </c>
      <c r="O804" s="4"/>
      <c r="P804" s="4"/>
      <c r="Q804" s="11">
        <v>0</v>
      </c>
      <c r="R804" s="4"/>
      <c r="S804" s="12"/>
    </row>
    <row r="805" spans="1:19" x14ac:dyDescent="0.25">
      <c r="A805" s="9" t="s">
        <v>571</v>
      </c>
      <c r="B805" s="9" t="s">
        <v>291</v>
      </c>
      <c r="C805" s="4">
        <v>201004635</v>
      </c>
      <c r="D805" s="4" t="s">
        <v>713</v>
      </c>
      <c r="E805" s="4" t="str">
        <f>"092282010"</f>
        <v>092282010</v>
      </c>
      <c r="F805" s="10">
        <v>40373</v>
      </c>
      <c r="G805" s="11">
        <v>500</v>
      </c>
      <c r="H805" s="11">
        <v>0</v>
      </c>
      <c r="I805" s="4"/>
      <c r="J805" s="4"/>
      <c r="K805" s="11">
        <v>500</v>
      </c>
      <c r="L805" s="4" t="s">
        <v>714</v>
      </c>
      <c r="M805" s="4" t="s">
        <v>715</v>
      </c>
      <c r="N805" s="11">
        <v>0</v>
      </c>
      <c r="O805" s="4"/>
      <c r="P805" s="4"/>
      <c r="Q805" s="11">
        <v>0</v>
      </c>
      <c r="R805" s="4"/>
      <c r="S805" s="12"/>
    </row>
    <row r="806" spans="1:19" x14ac:dyDescent="0.25">
      <c r="A806" s="9" t="s">
        <v>571</v>
      </c>
      <c r="B806" s="9" t="s">
        <v>291</v>
      </c>
      <c r="C806" s="4">
        <v>201004648</v>
      </c>
      <c r="D806" s="4" t="s">
        <v>716</v>
      </c>
      <c r="E806" s="4" t="str">
        <f>"094562010"</f>
        <v>094562010</v>
      </c>
      <c r="F806" s="10">
        <v>40380</v>
      </c>
      <c r="G806" s="11">
        <v>150000</v>
      </c>
      <c r="H806" s="11">
        <v>150000</v>
      </c>
      <c r="I806" s="4" t="s">
        <v>30</v>
      </c>
      <c r="J806" s="4" t="s">
        <v>31</v>
      </c>
      <c r="K806" s="11">
        <v>0</v>
      </c>
      <c r="L806" s="4"/>
      <c r="M806" s="4"/>
      <c r="N806" s="11">
        <v>0</v>
      </c>
      <c r="O806" s="4"/>
      <c r="P806" s="4"/>
      <c r="Q806" s="11">
        <v>0</v>
      </c>
      <c r="R806" s="4"/>
      <c r="S806" s="12"/>
    </row>
    <row r="807" spans="1:19" x14ac:dyDescent="0.25">
      <c r="A807" s="9" t="s">
        <v>571</v>
      </c>
      <c r="B807" s="9" t="s">
        <v>291</v>
      </c>
      <c r="C807" s="4">
        <v>201004661</v>
      </c>
      <c r="D807" s="4" t="s">
        <v>717</v>
      </c>
      <c r="E807" s="4" t="str">
        <f>"092762010"</f>
        <v>092762010</v>
      </c>
      <c r="F807" s="10">
        <v>40373</v>
      </c>
      <c r="G807" s="11">
        <v>5000</v>
      </c>
      <c r="H807" s="11">
        <v>5000</v>
      </c>
      <c r="I807" s="4" t="s">
        <v>30</v>
      </c>
      <c r="J807" s="4" t="s">
        <v>31</v>
      </c>
      <c r="K807" s="11">
        <v>0</v>
      </c>
      <c r="L807" s="4"/>
      <c r="M807" s="4"/>
      <c r="N807" s="11">
        <v>0</v>
      </c>
      <c r="O807" s="4"/>
      <c r="P807" s="4"/>
      <c r="Q807" s="11">
        <v>0</v>
      </c>
      <c r="R807" s="4"/>
      <c r="S807" s="12"/>
    </row>
    <row r="808" spans="1:19" x14ac:dyDescent="0.25">
      <c r="A808" s="9" t="s">
        <v>571</v>
      </c>
      <c r="B808" s="9" t="s">
        <v>291</v>
      </c>
      <c r="C808" s="4">
        <v>201004661</v>
      </c>
      <c r="D808" s="4" t="s">
        <v>717</v>
      </c>
      <c r="E808" s="4" t="str">
        <f>"092782010"</f>
        <v>092782010</v>
      </c>
      <c r="F808" s="10">
        <v>40373</v>
      </c>
      <c r="G808" s="11">
        <v>5000</v>
      </c>
      <c r="H808" s="11">
        <v>5000</v>
      </c>
      <c r="I808" s="4" t="s">
        <v>30</v>
      </c>
      <c r="J808" s="4" t="s">
        <v>31</v>
      </c>
      <c r="K808" s="11">
        <v>0</v>
      </c>
      <c r="L808" s="4"/>
      <c r="M808" s="4"/>
      <c r="N808" s="11">
        <v>0</v>
      </c>
      <c r="O808" s="4"/>
      <c r="P808" s="4"/>
      <c r="Q808" s="11">
        <v>0</v>
      </c>
      <c r="R808" s="4"/>
      <c r="S808" s="12"/>
    </row>
    <row r="809" spans="1:19" x14ac:dyDescent="0.25">
      <c r="A809" s="9" t="s">
        <v>571</v>
      </c>
      <c r="B809" s="9" t="s">
        <v>291</v>
      </c>
      <c r="C809" s="4">
        <v>201004694</v>
      </c>
      <c r="D809" s="4" t="s">
        <v>718</v>
      </c>
      <c r="E809" s="4" t="str">
        <f>"093422010"</f>
        <v>093422010</v>
      </c>
      <c r="F809" s="10">
        <v>40375</v>
      </c>
      <c r="G809" s="11">
        <v>150000</v>
      </c>
      <c r="H809" s="11">
        <v>150000</v>
      </c>
      <c r="I809" s="4" t="s">
        <v>72</v>
      </c>
      <c r="J809" s="4" t="s">
        <v>73</v>
      </c>
      <c r="K809" s="11">
        <v>0</v>
      </c>
      <c r="L809" s="4"/>
      <c r="M809" s="4"/>
      <c r="N809" s="11">
        <v>0</v>
      </c>
      <c r="O809" s="4"/>
      <c r="P809" s="4"/>
      <c r="Q809" s="11">
        <v>0</v>
      </c>
      <c r="R809" s="4"/>
      <c r="S809" s="12"/>
    </row>
    <row r="810" spans="1:19" x14ac:dyDescent="0.25">
      <c r="A810" s="9" t="s">
        <v>571</v>
      </c>
      <c r="B810" s="9" t="s">
        <v>291</v>
      </c>
      <c r="C810" s="4">
        <v>201004700</v>
      </c>
      <c r="D810" s="4" t="s">
        <v>2534</v>
      </c>
      <c r="E810" s="4" t="str">
        <f>"094962010"</f>
        <v>094962010</v>
      </c>
      <c r="F810" s="10">
        <v>40381</v>
      </c>
      <c r="G810" s="11">
        <v>12500</v>
      </c>
      <c r="H810" s="11">
        <v>0</v>
      </c>
      <c r="I810" s="4"/>
      <c r="J810" s="4"/>
      <c r="K810" s="11">
        <v>12500</v>
      </c>
      <c r="L810" s="4" t="s">
        <v>72</v>
      </c>
      <c r="M810" s="4" t="s">
        <v>73</v>
      </c>
      <c r="N810" s="11">
        <v>0</v>
      </c>
      <c r="O810" s="4"/>
      <c r="P810" s="4"/>
      <c r="Q810" s="11">
        <v>0</v>
      </c>
      <c r="R810" s="4"/>
      <c r="S810" s="12"/>
    </row>
    <row r="811" spans="1:19" x14ac:dyDescent="0.25">
      <c r="A811" s="9" t="s">
        <v>571</v>
      </c>
      <c r="B811" s="9" t="s">
        <v>291</v>
      </c>
      <c r="C811" s="4">
        <v>201004700</v>
      </c>
      <c r="D811" s="4" t="s">
        <v>719</v>
      </c>
      <c r="E811" s="4" t="str">
        <f>"094942010"</f>
        <v>094942010</v>
      </c>
      <c r="F811" s="10">
        <v>40381</v>
      </c>
      <c r="G811" s="11">
        <v>13875</v>
      </c>
      <c r="H811" s="11">
        <v>13875</v>
      </c>
      <c r="I811" s="4" t="s">
        <v>72</v>
      </c>
      <c r="J811" s="4" t="s">
        <v>73</v>
      </c>
      <c r="K811" s="11">
        <v>0</v>
      </c>
      <c r="L811" s="4"/>
      <c r="M811" s="4"/>
      <c r="N811" s="11">
        <v>0</v>
      </c>
      <c r="O811" s="4"/>
      <c r="P811" s="4"/>
      <c r="Q811" s="11">
        <v>0</v>
      </c>
      <c r="R811" s="4"/>
      <c r="S811" s="12"/>
    </row>
    <row r="812" spans="1:19" x14ac:dyDescent="0.25">
      <c r="A812" s="9" t="s">
        <v>571</v>
      </c>
      <c r="B812" s="9" t="s">
        <v>291</v>
      </c>
      <c r="C812" s="4">
        <v>201004700</v>
      </c>
      <c r="D812" s="4" t="s">
        <v>719</v>
      </c>
      <c r="E812" s="4" t="str">
        <f>"094982010"</f>
        <v>094982010</v>
      </c>
      <c r="F812" s="10">
        <v>40381</v>
      </c>
      <c r="G812" s="11">
        <v>1125</v>
      </c>
      <c r="H812" s="11">
        <v>1125</v>
      </c>
      <c r="I812" s="4" t="s">
        <v>72</v>
      </c>
      <c r="J812" s="4" t="s">
        <v>73</v>
      </c>
      <c r="K812" s="11">
        <v>0</v>
      </c>
      <c r="L812" s="4"/>
      <c r="M812" s="4"/>
      <c r="N812" s="11">
        <v>0</v>
      </c>
      <c r="O812" s="4"/>
      <c r="P812" s="4"/>
      <c r="Q812" s="11">
        <v>0</v>
      </c>
      <c r="R812" s="4"/>
      <c r="S812" s="12"/>
    </row>
    <row r="813" spans="1:19" x14ac:dyDescent="0.25">
      <c r="A813" s="9" t="s">
        <v>571</v>
      </c>
      <c r="B813" s="9" t="s">
        <v>291</v>
      </c>
      <c r="C813" s="4">
        <v>201004700</v>
      </c>
      <c r="D813" s="4" t="s">
        <v>719</v>
      </c>
      <c r="E813" s="4" t="str">
        <f>"095002010"</f>
        <v>095002010</v>
      </c>
      <c r="F813" s="10">
        <v>40381</v>
      </c>
      <c r="G813" s="11">
        <v>22500</v>
      </c>
      <c r="H813" s="11">
        <v>22500</v>
      </c>
      <c r="I813" s="4" t="s">
        <v>72</v>
      </c>
      <c r="J813" s="4" t="s">
        <v>73</v>
      </c>
      <c r="K813" s="11">
        <v>0</v>
      </c>
      <c r="L813" s="4"/>
      <c r="M813" s="4"/>
      <c r="N813" s="11">
        <v>0</v>
      </c>
      <c r="O813" s="4"/>
      <c r="P813" s="4"/>
      <c r="Q813" s="11">
        <v>0</v>
      </c>
      <c r="R813" s="4"/>
      <c r="S813" s="12"/>
    </row>
    <row r="814" spans="1:19" x14ac:dyDescent="0.25">
      <c r="A814" s="9" t="s">
        <v>571</v>
      </c>
      <c r="B814" s="9" t="s">
        <v>291</v>
      </c>
      <c r="C814" s="4">
        <v>201004701</v>
      </c>
      <c r="D814" s="4"/>
      <c r="E814" s="4" t="str">
        <f>"094102010"</f>
        <v>094102010</v>
      </c>
      <c r="F814" s="10">
        <v>40379</v>
      </c>
      <c r="G814" s="11">
        <v>300000</v>
      </c>
      <c r="H814" s="11">
        <v>300000</v>
      </c>
      <c r="I814" s="4" t="s">
        <v>72</v>
      </c>
      <c r="J814" s="4" t="s">
        <v>73</v>
      </c>
      <c r="K814" s="11">
        <v>0</v>
      </c>
      <c r="L814" s="4"/>
      <c r="M814" s="4"/>
      <c r="N814" s="11">
        <v>0</v>
      </c>
      <c r="O814" s="4"/>
      <c r="P814" s="4"/>
      <c r="Q814" s="11">
        <v>0</v>
      </c>
      <c r="R814" s="4"/>
      <c r="S814" s="12"/>
    </row>
    <row r="815" spans="1:19" x14ac:dyDescent="0.25">
      <c r="A815" s="9" t="s">
        <v>571</v>
      </c>
      <c r="B815" s="9" t="s">
        <v>291</v>
      </c>
      <c r="C815" s="4">
        <v>201004772</v>
      </c>
      <c r="D815" s="4" t="s">
        <v>720</v>
      </c>
      <c r="E815" s="4" t="str">
        <f>"096212010"</f>
        <v>096212010</v>
      </c>
      <c r="F815" s="10">
        <v>40387</v>
      </c>
      <c r="G815" s="11">
        <v>40000</v>
      </c>
      <c r="H815" s="11">
        <v>40000</v>
      </c>
      <c r="I815" s="4" t="s">
        <v>68</v>
      </c>
      <c r="J815" s="4" t="s">
        <v>69</v>
      </c>
      <c r="K815" s="11">
        <v>0</v>
      </c>
      <c r="L815" s="4"/>
      <c r="M815" s="4"/>
      <c r="N815" s="11">
        <v>0</v>
      </c>
      <c r="O815" s="4"/>
      <c r="P815" s="4"/>
      <c r="Q815" s="11">
        <v>0</v>
      </c>
      <c r="R815" s="4"/>
      <c r="S815" s="12"/>
    </row>
    <row r="816" spans="1:19" x14ac:dyDescent="0.25">
      <c r="A816" s="9" t="s">
        <v>571</v>
      </c>
      <c r="B816" s="9" t="s">
        <v>291</v>
      </c>
      <c r="C816" s="4">
        <v>201004821</v>
      </c>
      <c r="D816" s="4" t="s">
        <v>721</v>
      </c>
      <c r="E816" s="4" t="str">
        <f>"097092010"</f>
        <v>097092010</v>
      </c>
      <c r="F816" s="10">
        <v>40394</v>
      </c>
      <c r="G816" s="11">
        <v>200000</v>
      </c>
      <c r="H816" s="11">
        <v>200000</v>
      </c>
      <c r="I816" s="4" t="s">
        <v>72</v>
      </c>
      <c r="J816" s="4" t="s">
        <v>73</v>
      </c>
      <c r="K816" s="11">
        <v>0</v>
      </c>
      <c r="L816" s="4"/>
      <c r="M816" s="4"/>
      <c r="N816" s="11">
        <v>0</v>
      </c>
      <c r="O816" s="4"/>
      <c r="P816" s="4"/>
      <c r="Q816" s="11">
        <v>0</v>
      </c>
      <c r="R816" s="4"/>
      <c r="S816" s="12"/>
    </row>
    <row r="817" spans="1:19" x14ac:dyDescent="0.25">
      <c r="A817" s="9" t="s">
        <v>571</v>
      </c>
      <c r="B817" s="9" t="s">
        <v>291</v>
      </c>
      <c r="C817" s="4">
        <v>201004860</v>
      </c>
      <c r="D817" s="4" t="s">
        <v>722</v>
      </c>
      <c r="E817" s="4" t="str">
        <f>"097312010"</f>
        <v>097312010</v>
      </c>
      <c r="F817" s="10">
        <v>40388</v>
      </c>
      <c r="G817" s="11">
        <v>2000000</v>
      </c>
      <c r="H817" s="11">
        <v>2000000</v>
      </c>
      <c r="I817" s="4" t="s">
        <v>72</v>
      </c>
      <c r="J817" s="4" t="s">
        <v>73</v>
      </c>
      <c r="K817" s="11">
        <v>0</v>
      </c>
      <c r="L817" s="4"/>
      <c r="M817" s="4"/>
      <c r="N817" s="11">
        <v>0</v>
      </c>
      <c r="O817" s="4"/>
      <c r="P817" s="4"/>
      <c r="Q817" s="11">
        <v>0</v>
      </c>
      <c r="R817" s="4"/>
      <c r="S817" s="12"/>
    </row>
    <row r="818" spans="1:19" x14ac:dyDescent="0.25">
      <c r="A818" s="9" t="s">
        <v>571</v>
      </c>
      <c r="B818" s="9" t="s">
        <v>291</v>
      </c>
      <c r="C818" s="4">
        <v>201004939</v>
      </c>
      <c r="D818" s="4" t="s">
        <v>723</v>
      </c>
      <c r="E818" s="4" t="str">
        <f>"098722010"</f>
        <v>098722010</v>
      </c>
      <c r="F818" s="10">
        <v>40395</v>
      </c>
      <c r="G818" s="11">
        <v>1560000</v>
      </c>
      <c r="H818" s="11">
        <v>1560000</v>
      </c>
      <c r="I818" s="4" t="s">
        <v>72</v>
      </c>
      <c r="J818" s="4" t="s">
        <v>73</v>
      </c>
      <c r="K818" s="11">
        <v>0</v>
      </c>
      <c r="L818" s="4"/>
      <c r="M818" s="4"/>
      <c r="N818" s="11">
        <v>0</v>
      </c>
      <c r="O818" s="4"/>
      <c r="P818" s="4"/>
      <c r="Q818" s="11">
        <v>0</v>
      </c>
      <c r="R818" s="4"/>
      <c r="S818" s="12"/>
    </row>
    <row r="819" spans="1:19" x14ac:dyDescent="0.25">
      <c r="A819" s="9" t="s">
        <v>571</v>
      </c>
      <c r="B819" s="9" t="s">
        <v>291</v>
      </c>
      <c r="C819" s="4">
        <v>201004968</v>
      </c>
      <c r="D819" s="4" t="s">
        <v>724</v>
      </c>
      <c r="E819" s="4" t="str">
        <f>"100372010"</f>
        <v>100372010</v>
      </c>
      <c r="F819" s="10">
        <v>40402</v>
      </c>
      <c r="G819" s="11">
        <v>133941.43</v>
      </c>
      <c r="H819" s="11">
        <v>133941.43</v>
      </c>
      <c r="I819" s="4" t="s">
        <v>72</v>
      </c>
      <c r="J819" s="4" t="s">
        <v>73</v>
      </c>
      <c r="K819" s="11">
        <v>0</v>
      </c>
      <c r="L819" s="4"/>
      <c r="M819" s="4"/>
      <c r="N819" s="11">
        <v>0</v>
      </c>
      <c r="O819" s="4"/>
      <c r="P819" s="4"/>
      <c r="Q819" s="11">
        <v>0</v>
      </c>
      <c r="R819" s="4"/>
      <c r="S819" s="12"/>
    </row>
    <row r="820" spans="1:19" x14ac:dyDescent="0.25">
      <c r="A820" s="9" t="s">
        <v>571</v>
      </c>
      <c r="B820" s="9" t="s">
        <v>291</v>
      </c>
      <c r="C820" s="4">
        <v>201005071</v>
      </c>
      <c r="D820" s="4" t="s">
        <v>725</v>
      </c>
      <c r="E820" s="4" t="str">
        <f>"100912010"</f>
        <v>100912010</v>
      </c>
      <c r="F820" s="10">
        <v>40406</v>
      </c>
      <c r="G820" s="11">
        <v>8000</v>
      </c>
      <c r="H820" s="11">
        <v>8000</v>
      </c>
      <c r="I820" s="4" t="s">
        <v>30</v>
      </c>
      <c r="J820" s="4" t="s">
        <v>31</v>
      </c>
      <c r="K820" s="11">
        <v>0</v>
      </c>
      <c r="L820" s="4"/>
      <c r="M820" s="4"/>
      <c r="N820" s="11">
        <v>0</v>
      </c>
      <c r="O820" s="4"/>
      <c r="P820" s="4"/>
      <c r="Q820" s="11">
        <v>0</v>
      </c>
      <c r="R820" s="4"/>
      <c r="S820" s="12"/>
    </row>
    <row r="821" spans="1:19" x14ac:dyDescent="0.25">
      <c r="A821" s="9" t="s">
        <v>571</v>
      </c>
      <c r="B821" s="9" t="s">
        <v>291</v>
      </c>
      <c r="C821" s="4">
        <v>201005083</v>
      </c>
      <c r="D821" s="4" t="s">
        <v>726</v>
      </c>
      <c r="E821" s="4" t="str">
        <f>"108432010"</f>
        <v>108432010</v>
      </c>
      <c r="F821" s="10">
        <v>40424</v>
      </c>
      <c r="G821" s="11">
        <v>500000</v>
      </c>
      <c r="H821" s="11">
        <v>500000</v>
      </c>
      <c r="I821" s="4" t="s">
        <v>72</v>
      </c>
      <c r="J821" s="4" t="s">
        <v>73</v>
      </c>
      <c r="K821" s="11">
        <v>0</v>
      </c>
      <c r="L821" s="4"/>
      <c r="M821" s="4"/>
      <c r="N821" s="11">
        <v>0</v>
      </c>
      <c r="O821" s="4"/>
      <c r="P821" s="4"/>
      <c r="Q821" s="11">
        <v>0</v>
      </c>
      <c r="R821" s="4"/>
      <c r="S821" s="12"/>
    </row>
    <row r="822" spans="1:19" x14ac:dyDescent="0.25">
      <c r="A822" s="9" t="s">
        <v>571</v>
      </c>
      <c r="B822" s="9" t="s">
        <v>291</v>
      </c>
      <c r="C822" s="4">
        <v>201005112</v>
      </c>
      <c r="D822" s="4" t="s">
        <v>727</v>
      </c>
      <c r="E822" s="4" t="str">
        <f>"100532010"</f>
        <v>100532010</v>
      </c>
      <c r="F822" s="10">
        <v>40403</v>
      </c>
      <c r="G822" s="11">
        <v>65000</v>
      </c>
      <c r="H822" s="11">
        <v>65000</v>
      </c>
      <c r="I822" s="4" t="s">
        <v>104</v>
      </c>
      <c r="J822" s="4" t="s">
        <v>105</v>
      </c>
      <c r="K822" s="11">
        <v>0</v>
      </c>
      <c r="L822" s="4"/>
      <c r="M822" s="4"/>
      <c r="N822" s="11">
        <v>0</v>
      </c>
      <c r="O822" s="4"/>
      <c r="P822" s="4"/>
      <c r="Q822" s="11">
        <v>0</v>
      </c>
      <c r="R822" s="4"/>
      <c r="S822" s="12"/>
    </row>
    <row r="823" spans="1:19" x14ac:dyDescent="0.25">
      <c r="A823" s="9" t="s">
        <v>571</v>
      </c>
      <c r="B823" s="9" t="s">
        <v>291</v>
      </c>
      <c r="C823" s="4">
        <v>201005158</v>
      </c>
      <c r="D823" s="4" t="s">
        <v>728</v>
      </c>
      <c r="E823" s="4" t="str">
        <f>"104192010"</f>
        <v>104192010</v>
      </c>
      <c r="F823" s="10">
        <v>40413</v>
      </c>
      <c r="G823" s="11">
        <v>100000</v>
      </c>
      <c r="H823" s="11">
        <v>100000</v>
      </c>
      <c r="I823" s="4" t="s">
        <v>72</v>
      </c>
      <c r="J823" s="4" t="s">
        <v>73</v>
      </c>
      <c r="K823" s="11">
        <v>0</v>
      </c>
      <c r="L823" s="4"/>
      <c r="M823" s="4"/>
      <c r="N823" s="11">
        <v>0</v>
      </c>
      <c r="O823" s="4"/>
      <c r="P823" s="4"/>
      <c r="Q823" s="11">
        <v>0</v>
      </c>
      <c r="R823" s="4"/>
      <c r="S823" s="12"/>
    </row>
    <row r="824" spans="1:19" x14ac:dyDescent="0.25">
      <c r="A824" s="9" t="s">
        <v>571</v>
      </c>
      <c r="B824" s="9" t="s">
        <v>291</v>
      </c>
      <c r="C824" s="4">
        <v>201005181</v>
      </c>
      <c r="D824" s="4"/>
      <c r="E824" s="4" t="str">
        <f>"104052010"</f>
        <v>104052010</v>
      </c>
      <c r="F824" s="10">
        <v>40413</v>
      </c>
      <c r="G824" s="11">
        <v>25000</v>
      </c>
      <c r="H824" s="11">
        <v>25000</v>
      </c>
      <c r="I824" s="4" t="s">
        <v>72</v>
      </c>
      <c r="J824" s="4" t="s">
        <v>73</v>
      </c>
      <c r="K824" s="11">
        <v>0</v>
      </c>
      <c r="L824" s="4"/>
      <c r="M824" s="4"/>
      <c r="N824" s="11">
        <v>0</v>
      </c>
      <c r="O824" s="4"/>
      <c r="P824" s="4"/>
      <c r="Q824" s="11">
        <v>0</v>
      </c>
      <c r="R824" s="4"/>
      <c r="S824" s="12"/>
    </row>
    <row r="825" spans="1:19" x14ac:dyDescent="0.25">
      <c r="A825" s="9" t="s">
        <v>571</v>
      </c>
      <c r="B825" s="9" t="s">
        <v>291</v>
      </c>
      <c r="C825" s="4">
        <v>201005217</v>
      </c>
      <c r="D825" s="4" t="s">
        <v>729</v>
      </c>
      <c r="E825" s="4" t="str">
        <f>"106172010"</f>
        <v>106172010</v>
      </c>
      <c r="F825" s="10">
        <v>40417</v>
      </c>
      <c r="G825" s="11">
        <v>1674242</v>
      </c>
      <c r="H825" s="11">
        <v>1674242</v>
      </c>
      <c r="I825" s="4" t="s">
        <v>72</v>
      </c>
      <c r="J825" s="4" t="s">
        <v>73</v>
      </c>
      <c r="K825" s="11">
        <v>0</v>
      </c>
      <c r="L825" s="4"/>
      <c r="M825" s="4"/>
      <c r="N825" s="11">
        <v>0</v>
      </c>
      <c r="O825" s="4"/>
      <c r="P825" s="4"/>
      <c r="Q825" s="11">
        <v>0</v>
      </c>
      <c r="R825" s="4"/>
      <c r="S825" s="12"/>
    </row>
    <row r="826" spans="1:19" x14ac:dyDescent="0.25">
      <c r="A826" s="9" t="s">
        <v>571</v>
      </c>
      <c r="B826" s="9" t="s">
        <v>291</v>
      </c>
      <c r="C826" s="4">
        <v>201005239</v>
      </c>
      <c r="D826" s="4" t="s">
        <v>730</v>
      </c>
      <c r="E826" s="4" t="str">
        <f>"104432010"</f>
        <v>104432010</v>
      </c>
      <c r="F826" s="10">
        <v>40413</v>
      </c>
      <c r="G826" s="11">
        <v>2500</v>
      </c>
      <c r="H826" s="11">
        <v>2500</v>
      </c>
      <c r="I826" s="4" t="s">
        <v>30</v>
      </c>
      <c r="J826" s="4" t="s">
        <v>31</v>
      </c>
      <c r="K826" s="11">
        <v>0</v>
      </c>
      <c r="L826" s="4"/>
      <c r="M826" s="4"/>
      <c r="N826" s="11">
        <v>0</v>
      </c>
      <c r="O826" s="4"/>
      <c r="P826" s="4"/>
      <c r="Q826" s="11">
        <v>0</v>
      </c>
      <c r="R826" s="4"/>
      <c r="S826" s="12"/>
    </row>
    <row r="827" spans="1:19" x14ac:dyDescent="0.25">
      <c r="A827" s="9" t="s">
        <v>571</v>
      </c>
      <c r="B827" s="9" t="s">
        <v>291</v>
      </c>
      <c r="C827" s="4">
        <v>201005244</v>
      </c>
      <c r="D827" s="4" t="s">
        <v>731</v>
      </c>
      <c r="E827" s="4" t="str">
        <f>"109252010"</f>
        <v>109252010</v>
      </c>
      <c r="F827" s="10">
        <v>40429</v>
      </c>
      <c r="G827" s="11">
        <v>120000</v>
      </c>
      <c r="H827" s="11">
        <v>120000</v>
      </c>
      <c r="I827" s="4" t="s">
        <v>30</v>
      </c>
      <c r="J827" s="4" t="s">
        <v>31</v>
      </c>
      <c r="K827" s="11">
        <v>0</v>
      </c>
      <c r="L827" s="4"/>
      <c r="M827" s="4"/>
      <c r="N827" s="11">
        <v>0</v>
      </c>
      <c r="O827" s="4"/>
      <c r="P827" s="4"/>
      <c r="Q827" s="11">
        <v>0</v>
      </c>
      <c r="R827" s="4"/>
      <c r="S827" s="12"/>
    </row>
    <row r="828" spans="1:19" x14ac:dyDescent="0.25">
      <c r="A828" s="9" t="s">
        <v>571</v>
      </c>
      <c r="B828" s="9" t="s">
        <v>291</v>
      </c>
      <c r="C828" s="4">
        <v>201005298</v>
      </c>
      <c r="D828" s="4" t="s">
        <v>732</v>
      </c>
      <c r="E828" s="4" t="str">
        <f>"112502010"</f>
        <v>112502010</v>
      </c>
      <c r="F828" s="10">
        <v>40443</v>
      </c>
      <c r="G828" s="11">
        <v>75000</v>
      </c>
      <c r="H828" s="11">
        <v>75000</v>
      </c>
      <c r="I828" s="4" t="s">
        <v>72</v>
      </c>
      <c r="J828" s="4" t="s">
        <v>73</v>
      </c>
      <c r="K828" s="11">
        <v>0</v>
      </c>
      <c r="L828" s="4"/>
      <c r="M828" s="4"/>
      <c r="N828" s="11">
        <v>0</v>
      </c>
      <c r="O828" s="4"/>
      <c r="P828" s="4"/>
      <c r="Q828" s="11">
        <v>0</v>
      </c>
      <c r="R828" s="4"/>
      <c r="S828" s="12"/>
    </row>
    <row r="829" spans="1:19" x14ac:dyDescent="0.25">
      <c r="A829" s="9" t="s">
        <v>571</v>
      </c>
      <c r="B829" s="9" t="s">
        <v>291</v>
      </c>
      <c r="C829" s="4">
        <v>201005318</v>
      </c>
      <c r="D829" s="4" t="s">
        <v>733</v>
      </c>
      <c r="E829" s="4" t="str">
        <f>"105492010"</f>
        <v>105492010</v>
      </c>
      <c r="F829" s="10">
        <v>40415</v>
      </c>
      <c r="G829" s="11">
        <v>18000</v>
      </c>
      <c r="H829" s="11">
        <v>18000</v>
      </c>
      <c r="I829" s="4" t="s">
        <v>72</v>
      </c>
      <c r="J829" s="4" t="s">
        <v>73</v>
      </c>
      <c r="K829" s="11">
        <v>0</v>
      </c>
      <c r="L829" s="4"/>
      <c r="M829" s="4"/>
      <c r="N829" s="11">
        <v>0</v>
      </c>
      <c r="O829" s="4"/>
      <c r="P829" s="4"/>
      <c r="Q829" s="11">
        <v>0</v>
      </c>
      <c r="R829" s="4"/>
      <c r="S829" s="12"/>
    </row>
    <row r="830" spans="1:19" x14ac:dyDescent="0.25">
      <c r="A830" s="9" t="s">
        <v>571</v>
      </c>
      <c r="B830" s="9" t="s">
        <v>571</v>
      </c>
      <c r="C830" s="4">
        <v>201005334</v>
      </c>
      <c r="D830" s="4" t="s">
        <v>734</v>
      </c>
      <c r="E830" s="4" t="str">
        <f>"107222010"</f>
        <v>107222010</v>
      </c>
      <c r="F830" s="10">
        <v>40423</v>
      </c>
      <c r="G830" s="11">
        <v>4767025</v>
      </c>
      <c r="H830" s="11">
        <v>4767025</v>
      </c>
      <c r="I830" s="4" t="s">
        <v>98</v>
      </c>
      <c r="J830" s="4" t="s">
        <v>99</v>
      </c>
      <c r="K830" s="11">
        <v>0</v>
      </c>
      <c r="L830" s="4"/>
      <c r="M830" s="4"/>
      <c r="N830" s="11">
        <v>0</v>
      </c>
      <c r="O830" s="4"/>
      <c r="P830" s="4"/>
      <c r="Q830" s="11">
        <v>0</v>
      </c>
      <c r="R830" s="4"/>
      <c r="S830" s="12"/>
    </row>
    <row r="831" spans="1:19" x14ac:dyDescent="0.25">
      <c r="A831" s="9" t="s">
        <v>571</v>
      </c>
      <c r="B831" s="9" t="s">
        <v>291</v>
      </c>
      <c r="C831" s="4">
        <v>201005496</v>
      </c>
      <c r="D831" s="4" t="s">
        <v>735</v>
      </c>
      <c r="E831" s="4" t="str">
        <f>"109152010"</f>
        <v>109152010</v>
      </c>
      <c r="F831" s="10">
        <v>40430</v>
      </c>
      <c r="G831" s="11">
        <v>1500</v>
      </c>
      <c r="H831" s="11">
        <v>1500</v>
      </c>
      <c r="I831" s="4" t="s">
        <v>72</v>
      </c>
      <c r="J831" s="4" t="s">
        <v>73</v>
      </c>
      <c r="K831" s="11">
        <v>0</v>
      </c>
      <c r="L831" s="4"/>
      <c r="M831" s="4"/>
      <c r="N831" s="11">
        <v>0</v>
      </c>
      <c r="O831" s="4"/>
      <c r="P831" s="4"/>
      <c r="Q831" s="11">
        <v>0</v>
      </c>
      <c r="R831" s="4"/>
      <c r="S831" s="12"/>
    </row>
    <row r="832" spans="1:19" x14ac:dyDescent="0.25">
      <c r="A832" s="9" t="s">
        <v>571</v>
      </c>
      <c r="B832" s="9" t="s">
        <v>291</v>
      </c>
      <c r="C832" s="4">
        <v>201005528</v>
      </c>
      <c r="D832" s="4" t="s">
        <v>736</v>
      </c>
      <c r="E832" s="4" t="str">
        <f>"112702010"</f>
        <v>112702010</v>
      </c>
      <c r="F832" s="10">
        <v>40443</v>
      </c>
      <c r="G832" s="11">
        <v>1071538.08</v>
      </c>
      <c r="H832" s="11">
        <v>850000</v>
      </c>
      <c r="I832" s="4" t="s">
        <v>251</v>
      </c>
      <c r="J832" s="4" t="s">
        <v>252</v>
      </c>
      <c r="K832" s="11">
        <v>212500</v>
      </c>
      <c r="L832" s="4" t="s">
        <v>251</v>
      </c>
      <c r="M832" s="4" t="s">
        <v>252</v>
      </c>
      <c r="N832" s="11">
        <v>9038.08</v>
      </c>
      <c r="O832" s="4" t="s">
        <v>251</v>
      </c>
      <c r="P832" s="4" t="s">
        <v>252</v>
      </c>
      <c r="Q832" s="11">
        <v>0</v>
      </c>
      <c r="R832" s="4"/>
      <c r="S832" s="12"/>
    </row>
    <row r="833" spans="1:19" x14ac:dyDescent="0.25">
      <c r="A833" s="9" t="s">
        <v>571</v>
      </c>
      <c r="B833" s="9" t="s">
        <v>291</v>
      </c>
      <c r="C833" s="4">
        <v>201005555</v>
      </c>
      <c r="D833" s="4" t="s">
        <v>737</v>
      </c>
      <c r="E833" s="4" t="str">
        <f>"111492010"</f>
        <v>111492010</v>
      </c>
      <c r="F833" s="10">
        <v>40438</v>
      </c>
      <c r="G833" s="11">
        <v>965372.5</v>
      </c>
      <c r="H833" s="11">
        <v>965372.5</v>
      </c>
      <c r="I833" s="4" t="s">
        <v>38</v>
      </c>
      <c r="J833" s="4" t="s">
        <v>39</v>
      </c>
      <c r="K833" s="11">
        <v>0</v>
      </c>
      <c r="L833" s="4"/>
      <c r="M833" s="4"/>
      <c r="N833" s="11">
        <v>0</v>
      </c>
      <c r="O833" s="4"/>
      <c r="P833" s="4"/>
      <c r="Q833" s="11">
        <v>0</v>
      </c>
      <c r="R833" s="4"/>
      <c r="S833" s="12"/>
    </row>
    <row r="834" spans="1:19" x14ac:dyDescent="0.25">
      <c r="A834" s="9" t="s">
        <v>571</v>
      </c>
      <c r="B834" s="9" t="s">
        <v>291</v>
      </c>
      <c r="C834" s="4">
        <v>201005611</v>
      </c>
      <c r="D834" s="4" t="s">
        <v>738</v>
      </c>
      <c r="E834" s="4" t="str">
        <f>"113302010"</f>
        <v>113302010</v>
      </c>
      <c r="F834" s="10">
        <v>40445</v>
      </c>
      <c r="G834" s="11">
        <v>60000</v>
      </c>
      <c r="H834" s="11">
        <v>60000</v>
      </c>
      <c r="I834" s="4" t="s">
        <v>72</v>
      </c>
      <c r="J834" s="4" t="s">
        <v>73</v>
      </c>
      <c r="K834" s="11">
        <v>0</v>
      </c>
      <c r="L834" s="4"/>
      <c r="M834" s="4"/>
      <c r="N834" s="11">
        <v>0</v>
      </c>
      <c r="O834" s="4"/>
      <c r="P834" s="4"/>
      <c r="Q834" s="11">
        <v>0</v>
      </c>
      <c r="R834" s="4"/>
      <c r="S834" s="12"/>
    </row>
    <row r="835" spans="1:19" x14ac:dyDescent="0.25">
      <c r="A835" s="9" t="s">
        <v>571</v>
      </c>
      <c r="B835" s="9" t="s">
        <v>571</v>
      </c>
      <c r="C835" s="4">
        <v>201005674</v>
      </c>
      <c r="D835" s="4" t="s">
        <v>739</v>
      </c>
      <c r="E835" s="4" t="str">
        <f>"113482010"</f>
        <v>113482010</v>
      </c>
      <c r="F835" s="10">
        <v>40445</v>
      </c>
      <c r="G835" s="11">
        <v>5000</v>
      </c>
      <c r="H835" s="11">
        <v>5000</v>
      </c>
      <c r="I835" s="4" t="s">
        <v>72</v>
      </c>
      <c r="J835" s="4" t="s">
        <v>73</v>
      </c>
      <c r="K835" s="11">
        <v>0</v>
      </c>
      <c r="L835" s="4"/>
      <c r="M835" s="4"/>
      <c r="N835" s="11">
        <v>0</v>
      </c>
      <c r="O835" s="4"/>
      <c r="P835" s="4"/>
      <c r="Q835" s="11">
        <v>0</v>
      </c>
      <c r="R835" s="4"/>
      <c r="S835" s="12"/>
    </row>
    <row r="836" spans="1:19" x14ac:dyDescent="0.25">
      <c r="A836" s="9" t="s">
        <v>571</v>
      </c>
      <c r="B836" s="9" t="s">
        <v>291</v>
      </c>
      <c r="C836" s="4">
        <v>201005716</v>
      </c>
      <c r="D836" s="4" t="s">
        <v>740</v>
      </c>
      <c r="E836" s="4" t="str">
        <f>"114552010"</f>
        <v>114552010</v>
      </c>
      <c r="F836" s="10">
        <v>40449</v>
      </c>
      <c r="G836" s="11">
        <v>135000</v>
      </c>
      <c r="H836" s="11">
        <v>135000</v>
      </c>
      <c r="I836" s="4" t="s">
        <v>72</v>
      </c>
      <c r="J836" s="4" t="s">
        <v>73</v>
      </c>
      <c r="K836" s="11">
        <v>0</v>
      </c>
      <c r="L836" s="4"/>
      <c r="M836" s="4"/>
      <c r="N836" s="11">
        <v>0</v>
      </c>
      <c r="O836" s="4"/>
      <c r="P836" s="4"/>
      <c r="Q836" s="11">
        <v>0</v>
      </c>
      <c r="R836" s="4"/>
      <c r="S836" s="12"/>
    </row>
    <row r="837" spans="1:19" x14ac:dyDescent="0.25">
      <c r="A837" s="9" t="s">
        <v>571</v>
      </c>
      <c r="B837" s="9" t="s">
        <v>291</v>
      </c>
      <c r="C837" s="4">
        <v>201005729</v>
      </c>
      <c r="D837" s="4" t="s">
        <v>741</v>
      </c>
      <c r="E837" s="4" t="str">
        <f>"114712010"</f>
        <v>114712010</v>
      </c>
      <c r="F837" s="10">
        <v>40449</v>
      </c>
      <c r="G837" s="11">
        <v>245000</v>
      </c>
      <c r="H837" s="11">
        <v>245000</v>
      </c>
      <c r="I837" s="4" t="s">
        <v>72</v>
      </c>
      <c r="J837" s="4" t="s">
        <v>73</v>
      </c>
      <c r="K837" s="11">
        <v>0</v>
      </c>
      <c r="L837" s="4"/>
      <c r="M837" s="4"/>
      <c r="N837" s="11">
        <v>0</v>
      </c>
      <c r="O837" s="4"/>
      <c r="P837" s="4"/>
      <c r="Q837" s="11">
        <v>0</v>
      </c>
      <c r="R837" s="4"/>
      <c r="S837" s="12"/>
    </row>
    <row r="838" spans="1:19" x14ac:dyDescent="0.25">
      <c r="A838" s="9" t="s">
        <v>571</v>
      </c>
      <c r="B838" s="9" t="s">
        <v>291</v>
      </c>
      <c r="C838" s="4">
        <v>201005772</v>
      </c>
      <c r="D838" s="4" t="s">
        <v>742</v>
      </c>
      <c r="E838" s="4" t="str">
        <f>"115782010"</f>
        <v>115782010</v>
      </c>
      <c r="F838" s="10">
        <v>40450</v>
      </c>
      <c r="G838" s="11">
        <v>950000</v>
      </c>
      <c r="H838" s="11">
        <v>950000</v>
      </c>
      <c r="I838" s="4" t="s">
        <v>72</v>
      </c>
      <c r="J838" s="4" t="s">
        <v>73</v>
      </c>
      <c r="K838" s="11">
        <v>0</v>
      </c>
      <c r="L838" s="4"/>
      <c r="M838" s="4"/>
      <c r="N838" s="11">
        <v>0</v>
      </c>
      <c r="O838" s="4"/>
      <c r="P838" s="4"/>
      <c r="Q838" s="11">
        <v>0</v>
      </c>
      <c r="R838" s="4"/>
      <c r="S838" s="12"/>
    </row>
    <row r="839" spans="1:19" x14ac:dyDescent="0.25">
      <c r="A839" s="9" t="s">
        <v>743</v>
      </c>
      <c r="B839" s="9" t="s">
        <v>291</v>
      </c>
      <c r="C839" s="4">
        <v>201000248</v>
      </c>
      <c r="D839" s="4" t="s">
        <v>2534</v>
      </c>
      <c r="E839" s="4" t="str">
        <f>"004302010"</f>
        <v>004302010</v>
      </c>
      <c r="F839" s="10">
        <v>40105</v>
      </c>
      <c r="G839" s="11">
        <v>230000</v>
      </c>
      <c r="H839" s="11">
        <v>205000</v>
      </c>
      <c r="I839" s="4" t="s">
        <v>30</v>
      </c>
      <c r="J839" s="4" t="s">
        <v>31</v>
      </c>
      <c r="K839" s="11">
        <v>25000</v>
      </c>
      <c r="L839" s="4" t="s">
        <v>30</v>
      </c>
      <c r="M839" s="4" t="s">
        <v>31</v>
      </c>
      <c r="N839" s="11">
        <v>0</v>
      </c>
      <c r="O839" s="4"/>
      <c r="P839" s="4"/>
      <c r="Q839" s="11">
        <v>0</v>
      </c>
      <c r="R839" s="4"/>
      <c r="S839" s="12"/>
    </row>
    <row r="840" spans="1:19" x14ac:dyDescent="0.25">
      <c r="A840" s="9" t="s">
        <v>743</v>
      </c>
      <c r="B840" s="9" t="s">
        <v>291</v>
      </c>
      <c r="C840" s="4">
        <v>201000403</v>
      </c>
      <c r="D840" s="4"/>
      <c r="E840" s="4" t="str">
        <f>"007452010"</f>
        <v>007452010</v>
      </c>
      <c r="F840" s="10">
        <v>40119</v>
      </c>
      <c r="G840" s="11">
        <v>2250</v>
      </c>
      <c r="H840" s="11">
        <v>2250</v>
      </c>
      <c r="I840" s="4" t="s">
        <v>38</v>
      </c>
      <c r="J840" s="4" t="s">
        <v>39</v>
      </c>
      <c r="K840" s="11">
        <v>0</v>
      </c>
      <c r="L840" s="4"/>
      <c r="M840" s="4"/>
      <c r="N840" s="11">
        <v>0</v>
      </c>
      <c r="O840" s="4"/>
      <c r="P840" s="4"/>
      <c r="Q840" s="11">
        <v>0</v>
      </c>
      <c r="R840" s="4"/>
      <c r="S840" s="12"/>
    </row>
    <row r="841" spans="1:19" x14ac:dyDescent="0.25">
      <c r="A841" s="9" t="s">
        <v>743</v>
      </c>
      <c r="B841" s="9" t="s">
        <v>291</v>
      </c>
      <c r="C841" s="4">
        <v>201000843</v>
      </c>
      <c r="D841" s="4" t="s">
        <v>744</v>
      </c>
      <c r="E841" s="4" t="str">
        <f>"017002010"</f>
        <v>017002010</v>
      </c>
      <c r="F841" s="10">
        <v>40149</v>
      </c>
      <c r="G841" s="11">
        <v>150000</v>
      </c>
      <c r="H841" s="11">
        <v>150000</v>
      </c>
      <c r="I841" s="4" t="s">
        <v>30</v>
      </c>
      <c r="J841" s="4" t="s">
        <v>31</v>
      </c>
      <c r="K841" s="11">
        <v>0</v>
      </c>
      <c r="L841" s="4"/>
      <c r="M841" s="4"/>
      <c r="N841" s="11">
        <v>0</v>
      </c>
      <c r="O841" s="4"/>
      <c r="P841" s="4"/>
      <c r="Q841" s="11">
        <v>0</v>
      </c>
      <c r="R841" s="4"/>
      <c r="S841" s="12"/>
    </row>
    <row r="842" spans="1:19" x14ac:dyDescent="0.25">
      <c r="A842" s="9" t="s">
        <v>743</v>
      </c>
      <c r="B842" s="9" t="s">
        <v>291</v>
      </c>
      <c r="C842" s="4">
        <v>201001442</v>
      </c>
      <c r="D842" s="4" t="s">
        <v>745</v>
      </c>
      <c r="E842" s="4" t="str">
        <f>"028742010"</f>
        <v>028742010</v>
      </c>
      <c r="F842" s="10">
        <v>40186</v>
      </c>
      <c r="G842" s="11">
        <v>87500</v>
      </c>
      <c r="H842" s="11">
        <v>87500</v>
      </c>
      <c r="I842" s="4" t="s">
        <v>30</v>
      </c>
      <c r="J842" s="4" t="s">
        <v>31</v>
      </c>
      <c r="K842" s="11">
        <v>0</v>
      </c>
      <c r="L842" s="4"/>
      <c r="M842" s="4"/>
      <c r="N842" s="11">
        <v>0</v>
      </c>
      <c r="O842" s="4"/>
      <c r="P842" s="4"/>
      <c r="Q842" s="11">
        <v>0</v>
      </c>
      <c r="R842" s="4"/>
      <c r="S842" s="12"/>
    </row>
    <row r="843" spans="1:19" x14ac:dyDescent="0.25">
      <c r="A843" s="9" t="s">
        <v>743</v>
      </c>
      <c r="B843" s="9" t="s">
        <v>291</v>
      </c>
      <c r="C843" s="4">
        <v>201001865</v>
      </c>
      <c r="D843" s="4"/>
      <c r="E843" s="4" t="str">
        <f>"037222010"</f>
        <v>037222010</v>
      </c>
      <c r="F843" s="10">
        <v>40214</v>
      </c>
      <c r="G843" s="11">
        <v>1425</v>
      </c>
      <c r="H843" s="11">
        <v>1425</v>
      </c>
      <c r="I843" s="4" t="s">
        <v>38</v>
      </c>
      <c r="J843" s="4" t="s">
        <v>39</v>
      </c>
      <c r="K843" s="11">
        <v>0</v>
      </c>
      <c r="L843" s="4"/>
      <c r="M843" s="4"/>
      <c r="N843" s="11">
        <v>0</v>
      </c>
      <c r="O843" s="4"/>
      <c r="P843" s="4"/>
      <c r="Q843" s="11">
        <v>0</v>
      </c>
      <c r="R843" s="4"/>
      <c r="S843" s="12"/>
    </row>
    <row r="844" spans="1:19" x14ac:dyDescent="0.25">
      <c r="A844" s="9" t="s">
        <v>743</v>
      </c>
      <c r="B844" s="9" t="s">
        <v>291</v>
      </c>
      <c r="C844" s="4">
        <v>201002094</v>
      </c>
      <c r="D844" s="4"/>
      <c r="E844" s="4" t="str">
        <f>"042072010"</f>
        <v>042072010</v>
      </c>
      <c r="F844" s="10">
        <v>40240</v>
      </c>
      <c r="G844" s="11">
        <v>5000</v>
      </c>
      <c r="H844" s="11">
        <v>5000</v>
      </c>
      <c r="I844" s="4" t="s">
        <v>30</v>
      </c>
      <c r="J844" s="4" t="s">
        <v>31</v>
      </c>
      <c r="K844" s="11">
        <v>0</v>
      </c>
      <c r="L844" s="4"/>
      <c r="M844" s="4"/>
      <c r="N844" s="11">
        <v>0</v>
      </c>
      <c r="O844" s="4"/>
      <c r="P844" s="4"/>
      <c r="Q844" s="11">
        <v>0</v>
      </c>
      <c r="R844" s="4"/>
      <c r="S844" s="12"/>
    </row>
    <row r="845" spans="1:19" x14ac:dyDescent="0.25">
      <c r="A845" s="9" t="s">
        <v>743</v>
      </c>
      <c r="B845" s="9" t="s">
        <v>291</v>
      </c>
      <c r="C845" s="4">
        <v>201003126</v>
      </c>
      <c r="D845" s="4" t="s">
        <v>746</v>
      </c>
      <c r="E845" s="4" t="str">
        <f>"063762010"</f>
        <v>063762010</v>
      </c>
      <c r="F845" s="10">
        <v>40297</v>
      </c>
      <c r="G845" s="11">
        <v>50000</v>
      </c>
      <c r="H845" s="11">
        <v>50000</v>
      </c>
      <c r="I845" s="4" t="s">
        <v>30</v>
      </c>
      <c r="J845" s="4" t="s">
        <v>31</v>
      </c>
      <c r="K845" s="11">
        <v>0</v>
      </c>
      <c r="L845" s="4"/>
      <c r="M845" s="4"/>
      <c r="N845" s="11">
        <v>0</v>
      </c>
      <c r="O845" s="4"/>
      <c r="P845" s="4"/>
      <c r="Q845" s="11">
        <v>0</v>
      </c>
      <c r="R845" s="4"/>
      <c r="S845" s="12"/>
    </row>
    <row r="846" spans="1:19" x14ac:dyDescent="0.25">
      <c r="A846" s="9" t="s">
        <v>743</v>
      </c>
      <c r="B846" s="9" t="s">
        <v>291</v>
      </c>
      <c r="C846" s="4">
        <v>201004327</v>
      </c>
      <c r="D846" s="4"/>
      <c r="E846" s="4" t="str">
        <f>"087902010"</f>
        <v>087902010</v>
      </c>
      <c r="F846" s="10">
        <v>40360</v>
      </c>
      <c r="G846" s="11">
        <v>300</v>
      </c>
      <c r="H846" s="11">
        <v>300</v>
      </c>
      <c r="I846" s="4" t="s">
        <v>38</v>
      </c>
      <c r="J846" s="4" t="s">
        <v>39</v>
      </c>
      <c r="K846" s="11">
        <v>0</v>
      </c>
      <c r="L846" s="4"/>
      <c r="M846" s="4"/>
      <c r="N846" s="11">
        <v>0</v>
      </c>
      <c r="O846" s="4"/>
      <c r="P846" s="4"/>
      <c r="Q846" s="11">
        <v>0</v>
      </c>
      <c r="R846" s="4"/>
      <c r="S846" s="12"/>
    </row>
    <row r="847" spans="1:19" x14ac:dyDescent="0.25">
      <c r="A847" s="9" t="s">
        <v>747</v>
      </c>
      <c r="B847" s="9" t="s">
        <v>945</v>
      </c>
      <c r="C847" s="4">
        <v>201002037</v>
      </c>
      <c r="D847" s="4" t="s">
        <v>748</v>
      </c>
      <c r="E847" s="4" t="str">
        <f>"072152010"</f>
        <v>072152010</v>
      </c>
      <c r="F847" s="10">
        <v>40324</v>
      </c>
      <c r="G847" s="11">
        <v>25000</v>
      </c>
      <c r="H847" s="11">
        <v>25000</v>
      </c>
      <c r="I847" s="4" t="s">
        <v>98</v>
      </c>
      <c r="J847" s="4" t="s">
        <v>99</v>
      </c>
      <c r="K847" s="11">
        <v>0</v>
      </c>
      <c r="L847" s="4"/>
      <c r="M847" s="4"/>
      <c r="N847" s="11">
        <v>0</v>
      </c>
      <c r="O847" s="4"/>
      <c r="P847" s="4"/>
      <c r="Q847" s="11">
        <v>0</v>
      </c>
      <c r="R847" s="4"/>
      <c r="S847" s="12"/>
    </row>
    <row r="848" spans="1:19" x14ac:dyDescent="0.25">
      <c r="A848" s="9" t="s">
        <v>749</v>
      </c>
      <c r="B848" s="9" t="s">
        <v>291</v>
      </c>
      <c r="C848" s="4">
        <v>200905746</v>
      </c>
      <c r="D848" s="4" t="s">
        <v>750</v>
      </c>
      <c r="E848" s="4" t="str">
        <f>"086542009"</f>
        <v>086542009</v>
      </c>
      <c r="F848" s="10">
        <v>40091</v>
      </c>
      <c r="G848" s="11">
        <v>95000</v>
      </c>
      <c r="H848" s="11">
        <v>95000</v>
      </c>
      <c r="I848" s="4" t="s">
        <v>23</v>
      </c>
      <c r="J848" s="4" t="s">
        <v>24</v>
      </c>
      <c r="K848" s="11">
        <v>0</v>
      </c>
      <c r="L848" s="4"/>
      <c r="M848" s="4"/>
      <c r="N848" s="11">
        <v>0</v>
      </c>
      <c r="O848" s="4"/>
      <c r="P848" s="4"/>
      <c r="Q848" s="11">
        <v>0</v>
      </c>
      <c r="R848" s="4"/>
      <c r="S848" s="12"/>
    </row>
    <row r="849" spans="1:19" x14ac:dyDescent="0.25">
      <c r="A849" s="9" t="s">
        <v>749</v>
      </c>
      <c r="B849" s="9" t="s">
        <v>291</v>
      </c>
      <c r="C849" s="4">
        <v>201000449</v>
      </c>
      <c r="D849" s="4" t="s">
        <v>751</v>
      </c>
      <c r="E849" s="4" t="str">
        <f>"008892010"</f>
        <v>008892010</v>
      </c>
      <c r="F849" s="10">
        <v>40121</v>
      </c>
      <c r="G849" s="11">
        <v>18000</v>
      </c>
      <c r="H849" s="11">
        <v>18000</v>
      </c>
      <c r="I849" s="4" t="s">
        <v>179</v>
      </c>
      <c r="J849" s="4" t="s">
        <v>180</v>
      </c>
      <c r="K849" s="11">
        <v>0</v>
      </c>
      <c r="L849" s="4"/>
      <c r="M849" s="4"/>
      <c r="N849" s="11">
        <v>0</v>
      </c>
      <c r="O849" s="4"/>
      <c r="P849" s="4"/>
      <c r="Q849" s="11">
        <v>0</v>
      </c>
      <c r="R849" s="4"/>
      <c r="S849" s="12"/>
    </row>
    <row r="850" spans="1:19" x14ac:dyDescent="0.25">
      <c r="A850" s="9" t="s">
        <v>749</v>
      </c>
      <c r="B850" s="9" t="s">
        <v>291</v>
      </c>
      <c r="C850" s="4">
        <v>201000531</v>
      </c>
      <c r="D850" s="4" t="s">
        <v>752</v>
      </c>
      <c r="E850" s="4" t="str">
        <f>"012012010"</f>
        <v>012012010</v>
      </c>
      <c r="F850" s="10">
        <v>40134</v>
      </c>
      <c r="G850" s="11">
        <v>1723.24</v>
      </c>
      <c r="H850" s="11">
        <v>0</v>
      </c>
      <c r="I850" s="4"/>
      <c r="J850" s="4"/>
      <c r="K850" s="11">
        <v>0</v>
      </c>
      <c r="L850" s="4"/>
      <c r="M850" s="4"/>
      <c r="N850" s="11">
        <v>1723.24</v>
      </c>
      <c r="O850" s="4" t="s">
        <v>56</v>
      </c>
      <c r="P850" s="4" t="s">
        <v>57</v>
      </c>
      <c r="Q850" s="11">
        <v>0</v>
      </c>
      <c r="R850" s="4"/>
      <c r="S850" s="12"/>
    </row>
    <row r="851" spans="1:19" x14ac:dyDescent="0.25">
      <c r="A851" s="9" t="s">
        <v>749</v>
      </c>
      <c r="B851" s="9" t="s">
        <v>291</v>
      </c>
      <c r="C851" s="4">
        <v>201001082</v>
      </c>
      <c r="D851" s="4" t="s">
        <v>753</v>
      </c>
      <c r="E851" s="4" t="str">
        <f>"020662010"</f>
        <v>020662010</v>
      </c>
      <c r="F851" s="10">
        <v>40162</v>
      </c>
      <c r="G851" s="11">
        <v>40000</v>
      </c>
      <c r="H851" s="11">
        <v>40000</v>
      </c>
      <c r="I851" s="4" t="s">
        <v>23</v>
      </c>
      <c r="J851" s="4" t="s">
        <v>24</v>
      </c>
      <c r="K851" s="11">
        <v>0</v>
      </c>
      <c r="L851" s="4"/>
      <c r="M851" s="4"/>
      <c r="N851" s="11">
        <v>0</v>
      </c>
      <c r="O851" s="4"/>
      <c r="P851" s="4"/>
      <c r="Q851" s="11">
        <v>0</v>
      </c>
      <c r="R851" s="4"/>
      <c r="S851" s="12"/>
    </row>
    <row r="852" spans="1:19" x14ac:dyDescent="0.25">
      <c r="A852" s="9" t="s">
        <v>749</v>
      </c>
      <c r="B852" s="9" t="s">
        <v>291</v>
      </c>
      <c r="C852" s="4">
        <v>201001816</v>
      </c>
      <c r="D852" s="4" t="s">
        <v>754</v>
      </c>
      <c r="E852" s="4" t="str">
        <f>"036122010"</f>
        <v>036122010</v>
      </c>
      <c r="F852" s="10">
        <v>40213</v>
      </c>
      <c r="G852" s="11">
        <v>1942.26</v>
      </c>
      <c r="H852" s="11">
        <v>1942.26</v>
      </c>
      <c r="I852" s="4" t="s">
        <v>23</v>
      </c>
      <c r="J852" s="4" t="s">
        <v>24</v>
      </c>
      <c r="K852" s="11">
        <v>0</v>
      </c>
      <c r="L852" s="4"/>
      <c r="M852" s="4"/>
      <c r="N852" s="11">
        <v>0</v>
      </c>
      <c r="O852" s="4"/>
      <c r="P852" s="4"/>
      <c r="Q852" s="11">
        <v>0</v>
      </c>
      <c r="R852" s="4"/>
      <c r="S852" s="12"/>
    </row>
    <row r="853" spans="1:19" x14ac:dyDescent="0.25">
      <c r="A853" s="9" t="s">
        <v>749</v>
      </c>
      <c r="B853" s="9" t="s">
        <v>291</v>
      </c>
      <c r="C853" s="4">
        <v>201001880</v>
      </c>
      <c r="D853" s="4" t="s">
        <v>755</v>
      </c>
      <c r="E853" s="4" t="str">
        <f>"042632010"</f>
        <v>042632010</v>
      </c>
      <c r="F853" s="10">
        <v>40246</v>
      </c>
      <c r="G853" s="11">
        <v>77500</v>
      </c>
      <c r="H853" s="11">
        <v>77500</v>
      </c>
      <c r="I853" s="4" t="s">
        <v>72</v>
      </c>
      <c r="J853" s="4" t="s">
        <v>73</v>
      </c>
      <c r="K853" s="11">
        <v>0</v>
      </c>
      <c r="L853" s="4"/>
      <c r="M853" s="4"/>
      <c r="N853" s="11">
        <v>0</v>
      </c>
      <c r="O853" s="4"/>
      <c r="P853" s="4"/>
      <c r="Q853" s="11">
        <v>0</v>
      </c>
      <c r="R853" s="4"/>
      <c r="S853" s="12"/>
    </row>
    <row r="854" spans="1:19" x14ac:dyDescent="0.25">
      <c r="A854" s="9" t="s">
        <v>749</v>
      </c>
      <c r="B854" s="9" t="s">
        <v>291</v>
      </c>
      <c r="C854" s="4">
        <v>201002244</v>
      </c>
      <c r="D854" s="4" t="s">
        <v>756</v>
      </c>
      <c r="E854" s="4" t="str">
        <f>"044402010"</f>
        <v>044402010</v>
      </c>
      <c r="F854" s="10">
        <v>40245</v>
      </c>
      <c r="G854" s="11">
        <v>4254.6499999999996</v>
      </c>
      <c r="H854" s="11">
        <v>0</v>
      </c>
      <c r="I854" s="4"/>
      <c r="J854" s="4"/>
      <c r="K854" s="11">
        <v>0</v>
      </c>
      <c r="L854" s="4"/>
      <c r="M854" s="4"/>
      <c r="N854" s="11">
        <v>4254.6499999999996</v>
      </c>
      <c r="O854" s="4" t="s">
        <v>56</v>
      </c>
      <c r="P854" s="4" t="s">
        <v>57</v>
      </c>
      <c r="Q854" s="11">
        <v>0</v>
      </c>
      <c r="R854" s="4"/>
      <c r="S854" s="12"/>
    </row>
    <row r="855" spans="1:19" x14ac:dyDescent="0.25">
      <c r="A855" s="9" t="s">
        <v>749</v>
      </c>
      <c r="B855" s="9" t="s">
        <v>291</v>
      </c>
      <c r="C855" s="4">
        <v>201002425</v>
      </c>
      <c r="D855" s="4" t="s">
        <v>757</v>
      </c>
      <c r="E855" s="4" t="str">
        <f>"048242010"</f>
        <v>048242010</v>
      </c>
      <c r="F855" s="10">
        <v>40254</v>
      </c>
      <c r="G855" s="11">
        <v>180000</v>
      </c>
      <c r="H855" s="11">
        <v>180000</v>
      </c>
      <c r="I855" s="4" t="s">
        <v>30</v>
      </c>
      <c r="J855" s="4" t="s">
        <v>31</v>
      </c>
      <c r="K855" s="11">
        <v>0</v>
      </c>
      <c r="L855" s="4"/>
      <c r="M855" s="4"/>
      <c r="N855" s="11">
        <v>0</v>
      </c>
      <c r="O855" s="4"/>
      <c r="P855" s="4"/>
      <c r="Q855" s="11">
        <v>0</v>
      </c>
      <c r="R855" s="4"/>
      <c r="S855" s="12"/>
    </row>
    <row r="856" spans="1:19" x14ac:dyDescent="0.25">
      <c r="A856" s="9" t="s">
        <v>749</v>
      </c>
      <c r="B856" s="9" t="s">
        <v>291</v>
      </c>
      <c r="C856" s="4">
        <v>201002994</v>
      </c>
      <c r="D856" s="4" t="s">
        <v>758</v>
      </c>
      <c r="E856" s="4" t="str">
        <f>"059172010"</f>
        <v>059172010</v>
      </c>
      <c r="F856" s="10">
        <v>40284</v>
      </c>
      <c r="G856" s="11">
        <v>70000</v>
      </c>
      <c r="H856" s="11">
        <v>70000</v>
      </c>
      <c r="I856" s="4" t="s">
        <v>72</v>
      </c>
      <c r="J856" s="4" t="s">
        <v>73</v>
      </c>
      <c r="K856" s="11">
        <v>0</v>
      </c>
      <c r="L856" s="4"/>
      <c r="M856" s="4"/>
      <c r="N856" s="11">
        <v>0</v>
      </c>
      <c r="O856" s="4"/>
      <c r="P856" s="4"/>
      <c r="Q856" s="11">
        <v>0</v>
      </c>
      <c r="R856" s="4"/>
      <c r="S856" s="12"/>
    </row>
    <row r="857" spans="1:19" x14ac:dyDescent="0.25">
      <c r="A857" s="9" t="s">
        <v>749</v>
      </c>
      <c r="B857" s="9" t="s">
        <v>291</v>
      </c>
      <c r="C857" s="4">
        <v>201003733</v>
      </c>
      <c r="D857" s="4"/>
      <c r="E857" s="4" t="str">
        <f>"082552010"</f>
        <v>082552010</v>
      </c>
      <c r="F857" s="10">
        <v>40347</v>
      </c>
      <c r="G857" s="11">
        <v>6550</v>
      </c>
      <c r="H857" s="11">
        <v>6550</v>
      </c>
      <c r="I857" s="4" t="s">
        <v>759</v>
      </c>
      <c r="J857" s="4" t="s">
        <v>760</v>
      </c>
      <c r="K857" s="11">
        <v>0</v>
      </c>
      <c r="L857" s="4"/>
      <c r="M857" s="4"/>
      <c r="N857" s="11">
        <v>0</v>
      </c>
      <c r="O857" s="4"/>
      <c r="P857" s="4"/>
      <c r="Q857" s="11">
        <v>0</v>
      </c>
      <c r="R857" s="4"/>
      <c r="S857" s="12"/>
    </row>
    <row r="858" spans="1:19" x14ac:dyDescent="0.25">
      <c r="A858" s="9" t="s">
        <v>749</v>
      </c>
      <c r="B858" s="9" t="s">
        <v>291</v>
      </c>
      <c r="C858" s="4">
        <v>201003746</v>
      </c>
      <c r="D858" s="4" t="s">
        <v>171</v>
      </c>
      <c r="E858" s="4" t="str">
        <f>"073882010"</f>
        <v>073882010</v>
      </c>
      <c r="F858" s="10">
        <v>40331</v>
      </c>
      <c r="G858" s="11">
        <v>5000</v>
      </c>
      <c r="H858" s="11">
        <v>5000</v>
      </c>
      <c r="I858" s="4" t="s">
        <v>104</v>
      </c>
      <c r="J858" s="4" t="s">
        <v>105</v>
      </c>
      <c r="K858" s="11">
        <v>0</v>
      </c>
      <c r="L858" s="4"/>
      <c r="M858" s="4"/>
      <c r="N858" s="11">
        <v>0</v>
      </c>
      <c r="O858" s="4"/>
      <c r="P858" s="4"/>
      <c r="Q858" s="11">
        <v>0</v>
      </c>
      <c r="R858" s="4"/>
      <c r="S858" s="12"/>
    </row>
    <row r="859" spans="1:19" x14ac:dyDescent="0.25">
      <c r="A859" s="9" t="s">
        <v>749</v>
      </c>
      <c r="B859" s="9" t="s">
        <v>291</v>
      </c>
      <c r="C859" s="4">
        <v>201003799</v>
      </c>
      <c r="D859" s="4" t="s">
        <v>761</v>
      </c>
      <c r="E859" s="4" t="str">
        <f>"094062010"</f>
        <v>094062010</v>
      </c>
      <c r="F859" s="10">
        <v>40379</v>
      </c>
      <c r="G859" s="11">
        <v>16401.04</v>
      </c>
      <c r="H859" s="11">
        <v>16401.04</v>
      </c>
      <c r="I859" s="4" t="s">
        <v>56</v>
      </c>
      <c r="J859" s="4" t="s">
        <v>57</v>
      </c>
      <c r="K859" s="11">
        <v>0</v>
      </c>
      <c r="L859" s="4"/>
      <c r="M859" s="4"/>
      <c r="N859" s="11">
        <v>0</v>
      </c>
      <c r="O859" s="4"/>
      <c r="P859" s="4"/>
      <c r="Q859" s="11">
        <v>0</v>
      </c>
      <c r="R859" s="4"/>
      <c r="S859" s="12"/>
    </row>
    <row r="860" spans="1:19" x14ac:dyDescent="0.25">
      <c r="A860" s="9" t="s">
        <v>749</v>
      </c>
      <c r="B860" s="9" t="s">
        <v>291</v>
      </c>
      <c r="C860" s="4">
        <v>201003942</v>
      </c>
      <c r="D860" s="4" t="s">
        <v>444</v>
      </c>
      <c r="E860" s="4" t="str">
        <f>"080202010"</f>
        <v>080202010</v>
      </c>
      <c r="F860" s="10">
        <v>40346</v>
      </c>
      <c r="G860" s="11">
        <v>37527.58</v>
      </c>
      <c r="H860" s="11">
        <v>0</v>
      </c>
      <c r="I860" s="4"/>
      <c r="J860" s="4"/>
      <c r="K860" s="11">
        <v>0</v>
      </c>
      <c r="L860" s="4"/>
      <c r="M860" s="4"/>
      <c r="N860" s="11">
        <v>37527.58</v>
      </c>
      <c r="O860" s="4" t="s">
        <v>56</v>
      </c>
      <c r="P860" s="4" t="s">
        <v>57</v>
      </c>
      <c r="Q860" s="11">
        <v>0</v>
      </c>
      <c r="R860" s="4"/>
      <c r="S860" s="12"/>
    </row>
    <row r="861" spans="1:19" x14ac:dyDescent="0.25">
      <c r="A861" s="9" t="s">
        <v>749</v>
      </c>
      <c r="B861" s="9" t="s">
        <v>291</v>
      </c>
      <c r="C861" s="4">
        <v>201004005</v>
      </c>
      <c r="D861" s="4" t="s">
        <v>762</v>
      </c>
      <c r="E861" s="4" t="str">
        <f>"079242010"</f>
        <v>079242010</v>
      </c>
      <c r="F861" s="10">
        <v>40344</v>
      </c>
      <c r="G861" s="11">
        <v>49500</v>
      </c>
      <c r="H861" s="11">
        <v>49500</v>
      </c>
      <c r="I861" s="4" t="s">
        <v>38</v>
      </c>
      <c r="J861" s="4" t="s">
        <v>39</v>
      </c>
      <c r="K861" s="11">
        <v>0</v>
      </c>
      <c r="L861" s="4"/>
      <c r="M861" s="4"/>
      <c r="N861" s="11">
        <v>0</v>
      </c>
      <c r="O861" s="4"/>
      <c r="P861" s="4"/>
      <c r="Q861" s="11">
        <v>0</v>
      </c>
      <c r="R861" s="4"/>
      <c r="S861" s="12"/>
    </row>
    <row r="862" spans="1:19" x14ac:dyDescent="0.25">
      <c r="A862" s="9" t="s">
        <v>749</v>
      </c>
      <c r="B862" s="9" t="s">
        <v>945</v>
      </c>
      <c r="C862" s="4">
        <v>201004421</v>
      </c>
      <c r="D862" s="4" t="s">
        <v>763</v>
      </c>
      <c r="E862" s="4" t="str">
        <f>"094642010"</f>
        <v>094642010</v>
      </c>
      <c r="F862" s="10">
        <v>40381</v>
      </c>
      <c r="G862" s="11">
        <v>50000</v>
      </c>
      <c r="H862" s="11">
        <v>50000</v>
      </c>
      <c r="I862" s="4" t="s">
        <v>104</v>
      </c>
      <c r="J862" s="4" t="s">
        <v>105</v>
      </c>
      <c r="K862" s="11">
        <v>0</v>
      </c>
      <c r="L862" s="4"/>
      <c r="M862" s="4"/>
      <c r="N862" s="11">
        <v>0</v>
      </c>
      <c r="O862" s="4"/>
      <c r="P862" s="4"/>
      <c r="Q862" s="11">
        <v>0</v>
      </c>
      <c r="R862" s="4"/>
      <c r="S862" s="12"/>
    </row>
    <row r="863" spans="1:19" x14ac:dyDescent="0.25">
      <c r="A863" s="9" t="s">
        <v>749</v>
      </c>
      <c r="B863" s="9" t="s">
        <v>291</v>
      </c>
      <c r="C863" s="4">
        <v>201004726</v>
      </c>
      <c r="D863" s="4" t="s">
        <v>764</v>
      </c>
      <c r="E863" s="4" t="str">
        <f>"095582010"</f>
        <v>095582010</v>
      </c>
      <c r="F863" s="10">
        <v>40387</v>
      </c>
      <c r="G863" s="11">
        <v>90000</v>
      </c>
      <c r="H863" s="11">
        <v>90000</v>
      </c>
      <c r="I863" s="4" t="s">
        <v>179</v>
      </c>
      <c r="J863" s="4" t="s">
        <v>180</v>
      </c>
      <c r="K863" s="11">
        <v>0</v>
      </c>
      <c r="L863" s="4"/>
      <c r="M863" s="4"/>
      <c r="N863" s="11">
        <v>0</v>
      </c>
      <c r="O863" s="4"/>
      <c r="P863" s="4"/>
      <c r="Q863" s="11">
        <v>0</v>
      </c>
      <c r="R863" s="4"/>
      <c r="S863" s="12"/>
    </row>
    <row r="864" spans="1:19" x14ac:dyDescent="0.25">
      <c r="A864" s="9" t="s">
        <v>749</v>
      </c>
      <c r="B864" s="9" t="s">
        <v>291</v>
      </c>
      <c r="C864" s="4">
        <v>201005517</v>
      </c>
      <c r="D864" s="4" t="s">
        <v>765</v>
      </c>
      <c r="E864" s="4" t="str">
        <f>"112042010"</f>
        <v>112042010</v>
      </c>
      <c r="F864" s="10">
        <v>40443</v>
      </c>
      <c r="G864" s="11">
        <v>75000</v>
      </c>
      <c r="H864" s="11">
        <v>75000</v>
      </c>
      <c r="I864" s="4" t="s">
        <v>30</v>
      </c>
      <c r="J864" s="4" t="s">
        <v>31</v>
      </c>
      <c r="K864" s="11">
        <v>0</v>
      </c>
      <c r="L864" s="4"/>
      <c r="M864" s="4"/>
      <c r="N864" s="11">
        <v>0</v>
      </c>
      <c r="O864" s="4"/>
      <c r="P864" s="4"/>
      <c r="Q864" s="11">
        <v>0</v>
      </c>
      <c r="R864" s="4"/>
      <c r="S864" s="12"/>
    </row>
    <row r="865" spans="1:19" x14ac:dyDescent="0.25">
      <c r="A865" s="9" t="s">
        <v>766</v>
      </c>
      <c r="B865" s="9" t="s">
        <v>291</v>
      </c>
      <c r="C865" s="4">
        <v>201001086</v>
      </c>
      <c r="D865" s="4"/>
      <c r="E865" s="4" t="str">
        <f>"021932010"</f>
        <v>021932010</v>
      </c>
      <c r="F865" s="10">
        <v>40161</v>
      </c>
      <c r="G865" s="11">
        <v>2500</v>
      </c>
      <c r="H865" s="11">
        <v>2500</v>
      </c>
      <c r="I865" s="4" t="s">
        <v>30</v>
      </c>
      <c r="J865" s="4" t="s">
        <v>31</v>
      </c>
      <c r="K865" s="11">
        <v>0</v>
      </c>
      <c r="L865" s="4"/>
      <c r="M865" s="4"/>
      <c r="N865" s="11">
        <v>0</v>
      </c>
      <c r="O865" s="4"/>
      <c r="P865" s="4"/>
      <c r="Q865" s="11">
        <v>0</v>
      </c>
      <c r="R865" s="4"/>
      <c r="S865" s="12"/>
    </row>
    <row r="866" spans="1:19" x14ac:dyDescent="0.25">
      <c r="A866" s="9" t="s">
        <v>766</v>
      </c>
      <c r="B866" s="9" t="s">
        <v>291</v>
      </c>
      <c r="C866" s="4">
        <v>201001507</v>
      </c>
      <c r="D866" s="4" t="s">
        <v>767</v>
      </c>
      <c r="E866" s="4" t="str">
        <f>"029532010"</f>
        <v>029532010</v>
      </c>
      <c r="F866" s="10">
        <v>40191</v>
      </c>
      <c r="G866" s="11">
        <v>25000</v>
      </c>
      <c r="H866" s="11">
        <v>25000</v>
      </c>
      <c r="I866" s="4" t="s">
        <v>30</v>
      </c>
      <c r="J866" s="4" t="s">
        <v>31</v>
      </c>
      <c r="K866" s="11">
        <v>0</v>
      </c>
      <c r="L866" s="4"/>
      <c r="M866" s="4"/>
      <c r="N866" s="11">
        <v>0</v>
      </c>
      <c r="O866" s="4"/>
      <c r="P866" s="4"/>
      <c r="Q866" s="11">
        <v>0</v>
      </c>
      <c r="R866" s="4"/>
      <c r="S866" s="12"/>
    </row>
    <row r="867" spans="1:19" x14ac:dyDescent="0.25">
      <c r="A867" s="9" t="s">
        <v>766</v>
      </c>
      <c r="B867" s="9" t="s">
        <v>291</v>
      </c>
      <c r="C867" s="4">
        <v>201002359</v>
      </c>
      <c r="D867" s="4" t="s">
        <v>768</v>
      </c>
      <c r="E867" s="4" t="str">
        <f>"046202010"</f>
        <v>046202010</v>
      </c>
      <c r="F867" s="10">
        <v>40249</v>
      </c>
      <c r="G867" s="11">
        <v>500</v>
      </c>
      <c r="H867" s="11">
        <v>500</v>
      </c>
      <c r="I867" s="4" t="s">
        <v>38</v>
      </c>
      <c r="J867" s="4" t="s">
        <v>39</v>
      </c>
      <c r="K867" s="11">
        <v>0</v>
      </c>
      <c r="L867" s="4"/>
      <c r="M867" s="4"/>
      <c r="N867" s="11">
        <v>0</v>
      </c>
      <c r="O867" s="4"/>
      <c r="P867" s="4"/>
      <c r="Q867" s="11">
        <v>0</v>
      </c>
      <c r="R867" s="4"/>
      <c r="S867" s="12"/>
    </row>
    <row r="868" spans="1:19" x14ac:dyDescent="0.25">
      <c r="A868" s="9" t="s">
        <v>766</v>
      </c>
      <c r="B868" s="9" t="s">
        <v>291</v>
      </c>
      <c r="C868" s="4">
        <v>201002643</v>
      </c>
      <c r="D868" s="4" t="s">
        <v>769</v>
      </c>
      <c r="E868" s="4" t="str">
        <f>"052802010"</f>
        <v>052802010</v>
      </c>
      <c r="F868" s="10">
        <v>40276</v>
      </c>
      <c r="G868" s="11">
        <v>40000</v>
      </c>
      <c r="H868" s="11">
        <v>40000</v>
      </c>
      <c r="I868" s="4" t="s">
        <v>68</v>
      </c>
      <c r="J868" s="4" t="s">
        <v>69</v>
      </c>
      <c r="K868" s="11">
        <v>0</v>
      </c>
      <c r="L868" s="4"/>
      <c r="M868" s="4"/>
      <c r="N868" s="11">
        <v>0</v>
      </c>
      <c r="O868" s="4"/>
      <c r="P868" s="4"/>
      <c r="Q868" s="11">
        <v>0</v>
      </c>
      <c r="R868" s="4"/>
      <c r="S868" s="12"/>
    </row>
    <row r="869" spans="1:19" x14ac:dyDescent="0.25">
      <c r="A869" s="9" t="s">
        <v>766</v>
      </c>
      <c r="B869" s="9" t="s">
        <v>291</v>
      </c>
      <c r="C869" s="4">
        <v>201002643</v>
      </c>
      <c r="D869" s="4" t="s">
        <v>769</v>
      </c>
      <c r="E869" s="4" t="str">
        <f>"052822010"</f>
        <v>052822010</v>
      </c>
      <c r="F869" s="10">
        <v>40268</v>
      </c>
      <c r="G869" s="11">
        <v>4590.8599999999997</v>
      </c>
      <c r="H869" s="11">
        <v>4590.8599999999997</v>
      </c>
      <c r="I869" s="4" t="s">
        <v>68</v>
      </c>
      <c r="J869" s="4" t="s">
        <v>69</v>
      </c>
      <c r="K869" s="11">
        <v>0</v>
      </c>
      <c r="L869" s="4"/>
      <c r="M869" s="4"/>
      <c r="N869" s="11">
        <v>0</v>
      </c>
      <c r="O869" s="4"/>
      <c r="P869" s="4"/>
      <c r="Q869" s="11">
        <v>0</v>
      </c>
      <c r="R869" s="4"/>
      <c r="S869" s="12"/>
    </row>
    <row r="870" spans="1:19" x14ac:dyDescent="0.25">
      <c r="A870" s="9" t="s">
        <v>766</v>
      </c>
      <c r="B870" s="9" t="s">
        <v>291</v>
      </c>
      <c r="C870" s="4">
        <v>201002799</v>
      </c>
      <c r="D870" s="4" t="s">
        <v>770</v>
      </c>
      <c r="E870" s="4" t="str">
        <f>"054842010"</f>
        <v>054842010</v>
      </c>
      <c r="F870" s="10">
        <v>40274</v>
      </c>
      <c r="G870" s="11">
        <v>5000</v>
      </c>
      <c r="H870" s="11">
        <v>5000</v>
      </c>
      <c r="I870" s="4" t="s">
        <v>30</v>
      </c>
      <c r="J870" s="4" t="s">
        <v>31</v>
      </c>
      <c r="K870" s="11">
        <v>0</v>
      </c>
      <c r="L870" s="4"/>
      <c r="M870" s="4"/>
      <c r="N870" s="11">
        <v>0</v>
      </c>
      <c r="O870" s="4"/>
      <c r="P870" s="4"/>
      <c r="Q870" s="11">
        <v>0</v>
      </c>
      <c r="R870" s="4"/>
      <c r="S870" s="12"/>
    </row>
    <row r="871" spans="1:19" x14ac:dyDescent="0.25">
      <c r="A871" s="9" t="s">
        <v>766</v>
      </c>
      <c r="B871" s="9" t="s">
        <v>291</v>
      </c>
      <c r="C871" s="4">
        <v>201003409</v>
      </c>
      <c r="D871" s="4" t="s">
        <v>2534</v>
      </c>
      <c r="E871" s="4" t="str">
        <f>"067502010"</f>
        <v>067502010</v>
      </c>
      <c r="F871" s="10">
        <v>40310</v>
      </c>
      <c r="G871" s="11">
        <v>27000</v>
      </c>
      <c r="H871" s="11">
        <v>0</v>
      </c>
      <c r="I871" s="4"/>
      <c r="J871" s="4"/>
      <c r="K871" s="11">
        <v>27000</v>
      </c>
      <c r="L871" s="4" t="s">
        <v>30</v>
      </c>
      <c r="M871" s="4" t="s">
        <v>31</v>
      </c>
      <c r="N871" s="11">
        <v>0</v>
      </c>
      <c r="O871" s="4"/>
      <c r="P871" s="4"/>
      <c r="Q871" s="11">
        <v>0</v>
      </c>
      <c r="R871" s="4"/>
      <c r="S871" s="12"/>
    </row>
    <row r="872" spans="1:19" x14ac:dyDescent="0.25">
      <c r="A872" s="9" t="s">
        <v>766</v>
      </c>
      <c r="B872" s="9" t="s">
        <v>291</v>
      </c>
      <c r="C872" s="4">
        <v>201003409</v>
      </c>
      <c r="D872" s="4" t="s">
        <v>771</v>
      </c>
      <c r="E872" s="4" t="str">
        <f>"067482010"</f>
        <v>067482010</v>
      </c>
      <c r="F872" s="10">
        <v>40310</v>
      </c>
      <c r="G872" s="11">
        <v>123000</v>
      </c>
      <c r="H872" s="11">
        <v>123000</v>
      </c>
      <c r="I872" s="4" t="s">
        <v>30</v>
      </c>
      <c r="J872" s="4" t="s">
        <v>31</v>
      </c>
      <c r="K872" s="11">
        <v>0</v>
      </c>
      <c r="L872" s="4"/>
      <c r="M872" s="4"/>
      <c r="N872" s="11">
        <v>0</v>
      </c>
      <c r="O872" s="4"/>
      <c r="P872" s="4"/>
      <c r="Q872" s="11">
        <v>0</v>
      </c>
      <c r="R872" s="4"/>
      <c r="S872" s="12"/>
    </row>
    <row r="873" spans="1:19" x14ac:dyDescent="0.25">
      <c r="A873" s="9" t="s">
        <v>766</v>
      </c>
      <c r="B873" s="9" t="s">
        <v>291</v>
      </c>
      <c r="C873" s="4">
        <v>201005595</v>
      </c>
      <c r="D873" s="4" t="s">
        <v>772</v>
      </c>
      <c r="E873" s="4" t="str">
        <f>"114872010"</f>
        <v>114872010</v>
      </c>
      <c r="F873" s="10">
        <v>40450</v>
      </c>
      <c r="G873" s="11">
        <v>50000</v>
      </c>
      <c r="H873" s="11">
        <v>0</v>
      </c>
      <c r="I873" s="4"/>
      <c r="J873" s="4"/>
      <c r="K873" s="11">
        <v>50000</v>
      </c>
      <c r="L873" s="4" t="s">
        <v>30</v>
      </c>
      <c r="M873" s="4" t="s">
        <v>31</v>
      </c>
      <c r="N873" s="11">
        <v>0</v>
      </c>
      <c r="O873" s="4"/>
      <c r="P873" s="4"/>
      <c r="Q873" s="11">
        <v>0</v>
      </c>
      <c r="R873" s="4"/>
      <c r="S873" s="12"/>
    </row>
    <row r="874" spans="1:19" x14ac:dyDescent="0.25">
      <c r="A874" s="9" t="s">
        <v>773</v>
      </c>
      <c r="B874" s="9" t="s">
        <v>291</v>
      </c>
      <c r="C874" s="4">
        <v>200905895</v>
      </c>
      <c r="D874" s="4" t="s">
        <v>774</v>
      </c>
      <c r="E874" s="4" t="str">
        <f>"086322009"</f>
        <v>086322009</v>
      </c>
      <c r="F874" s="10">
        <v>40091</v>
      </c>
      <c r="G874" s="11">
        <v>539.6</v>
      </c>
      <c r="H874" s="11">
        <v>0</v>
      </c>
      <c r="I874" s="4"/>
      <c r="J874" s="4"/>
      <c r="K874" s="11">
        <v>0</v>
      </c>
      <c r="L874" s="4"/>
      <c r="M874" s="4"/>
      <c r="N874" s="11">
        <v>539.6</v>
      </c>
      <c r="O874" s="4" t="s">
        <v>56</v>
      </c>
      <c r="P874" s="4" t="s">
        <v>57</v>
      </c>
      <c r="Q874" s="11">
        <v>0</v>
      </c>
      <c r="R874" s="4"/>
      <c r="S874" s="12"/>
    </row>
    <row r="875" spans="1:19" x14ac:dyDescent="0.25">
      <c r="A875" s="9" t="s">
        <v>773</v>
      </c>
      <c r="B875" s="9" t="s">
        <v>291</v>
      </c>
      <c r="C875" s="4">
        <v>201000764</v>
      </c>
      <c r="D875" s="4"/>
      <c r="E875" s="4" t="str">
        <f>"014502010"</f>
        <v>014502010</v>
      </c>
      <c r="F875" s="10">
        <v>40141</v>
      </c>
      <c r="G875" s="11">
        <v>450</v>
      </c>
      <c r="H875" s="11">
        <v>0</v>
      </c>
      <c r="I875" s="4"/>
      <c r="J875" s="4"/>
      <c r="K875" s="11">
        <v>0</v>
      </c>
      <c r="L875" s="4"/>
      <c r="M875" s="4"/>
      <c r="N875" s="11">
        <v>450</v>
      </c>
      <c r="O875" s="4" t="s">
        <v>56</v>
      </c>
      <c r="P875" s="4" t="s">
        <v>57</v>
      </c>
      <c r="Q875" s="11">
        <v>0</v>
      </c>
      <c r="R875" s="4"/>
      <c r="S875" s="12"/>
    </row>
    <row r="876" spans="1:19" x14ac:dyDescent="0.25">
      <c r="A876" s="9" t="s">
        <v>773</v>
      </c>
      <c r="B876" s="9" t="s">
        <v>291</v>
      </c>
      <c r="C876" s="4">
        <v>201000834</v>
      </c>
      <c r="D876" s="4" t="s">
        <v>775</v>
      </c>
      <c r="E876" s="4" t="str">
        <f>"019902010"</f>
        <v>019902010</v>
      </c>
      <c r="F876" s="10">
        <v>40157</v>
      </c>
      <c r="G876" s="11">
        <v>250</v>
      </c>
      <c r="H876" s="11">
        <v>0</v>
      </c>
      <c r="I876" s="4"/>
      <c r="J876" s="4"/>
      <c r="K876" s="11">
        <v>0</v>
      </c>
      <c r="L876" s="4"/>
      <c r="M876" s="4"/>
      <c r="N876" s="11">
        <v>250</v>
      </c>
      <c r="O876" s="4" t="s">
        <v>56</v>
      </c>
      <c r="P876" s="4" t="s">
        <v>57</v>
      </c>
      <c r="Q876" s="11">
        <v>0</v>
      </c>
      <c r="R876" s="4"/>
      <c r="S876" s="12"/>
    </row>
    <row r="877" spans="1:19" x14ac:dyDescent="0.25">
      <c r="A877" s="9" t="s">
        <v>773</v>
      </c>
      <c r="B877" s="9" t="s">
        <v>291</v>
      </c>
      <c r="C877" s="4">
        <v>201001416</v>
      </c>
      <c r="D877" s="4" t="s">
        <v>776</v>
      </c>
      <c r="E877" s="4" t="str">
        <f>"031722010"</f>
        <v>031722010</v>
      </c>
      <c r="F877" s="10">
        <v>40199</v>
      </c>
      <c r="G877" s="11">
        <v>1219.75</v>
      </c>
      <c r="H877" s="11">
        <v>0</v>
      </c>
      <c r="I877" s="4"/>
      <c r="J877" s="4"/>
      <c r="K877" s="11">
        <v>0</v>
      </c>
      <c r="L877" s="4"/>
      <c r="M877" s="4"/>
      <c r="N877" s="11">
        <v>1219.75</v>
      </c>
      <c r="O877" s="4" t="s">
        <v>56</v>
      </c>
      <c r="P877" s="4" t="s">
        <v>57</v>
      </c>
      <c r="Q877" s="11">
        <v>0</v>
      </c>
      <c r="R877" s="4"/>
      <c r="S877" s="12"/>
    </row>
    <row r="878" spans="1:19" x14ac:dyDescent="0.25">
      <c r="A878" s="9" t="s">
        <v>773</v>
      </c>
      <c r="B878" s="9" t="s">
        <v>291</v>
      </c>
      <c r="C878" s="4">
        <v>201001771</v>
      </c>
      <c r="D878" s="4" t="s">
        <v>777</v>
      </c>
      <c r="E878" s="4" t="str">
        <f>"034422010"</f>
        <v>034422010</v>
      </c>
      <c r="F878" s="10">
        <v>40213</v>
      </c>
      <c r="G878" s="11">
        <v>410.02</v>
      </c>
      <c r="H878" s="11">
        <v>0</v>
      </c>
      <c r="I878" s="4"/>
      <c r="J878" s="4"/>
      <c r="K878" s="11">
        <v>0</v>
      </c>
      <c r="L878" s="4"/>
      <c r="M878" s="4"/>
      <c r="N878" s="11">
        <v>410.02</v>
      </c>
      <c r="O878" s="4" t="s">
        <v>56</v>
      </c>
      <c r="P878" s="4" t="s">
        <v>57</v>
      </c>
      <c r="Q878" s="11">
        <v>0</v>
      </c>
      <c r="R878" s="4"/>
      <c r="S878" s="12"/>
    </row>
    <row r="879" spans="1:19" x14ac:dyDescent="0.25">
      <c r="A879" s="9" t="s">
        <v>773</v>
      </c>
      <c r="B879" s="9" t="s">
        <v>291</v>
      </c>
      <c r="C879" s="4">
        <v>201004603</v>
      </c>
      <c r="D879" s="4" t="s">
        <v>778</v>
      </c>
      <c r="E879" s="4" t="str">
        <f>"092442010"</f>
        <v>092442010</v>
      </c>
      <c r="F879" s="10">
        <v>40373</v>
      </c>
      <c r="G879" s="11">
        <v>635.70000000000005</v>
      </c>
      <c r="H879" s="11">
        <v>0</v>
      </c>
      <c r="I879" s="4"/>
      <c r="J879" s="4"/>
      <c r="K879" s="11">
        <v>0</v>
      </c>
      <c r="L879" s="4"/>
      <c r="M879" s="4"/>
      <c r="N879" s="11">
        <v>635.70000000000005</v>
      </c>
      <c r="O879" s="4" t="s">
        <v>56</v>
      </c>
      <c r="P879" s="4" t="s">
        <v>57</v>
      </c>
      <c r="Q879" s="11">
        <v>0</v>
      </c>
      <c r="R879" s="4"/>
      <c r="S879" s="12"/>
    </row>
    <row r="880" spans="1:19" x14ac:dyDescent="0.25">
      <c r="A880" s="9" t="s">
        <v>779</v>
      </c>
      <c r="B880" s="9" t="s">
        <v>291</v>
      </c>
      <c r="C880" s="4">
        <v>200905614</v>
      </c>
      <c r="D880" s="4" t="s">
        <v>780</v>
      </c>
      <c r="E880" s="4" t="str">
        <f>"087832009"</f>
        <v>087832009</v>
      </c>
      <c r="F880" s="10">
        <v>40092</v>
      </c>
      <c r="G880" s="11">
        <v>3800000</v>
      </c>
      <c r="H880" s="11">
        <v>3800000</v>
      </c>
      <c r="I880" s="4" t="s">
        <v>781</v>
      </c>
      <c r="J880" s="4" t="s">
        <v>782</v>
      </c>
      <c r="K880" s="11">
        <v>0</v>
      </c>
      <c r="L880" s="4"/>
      <c r="M880" s="4"/>
      <c r="N880" s="11">
        <v>0</v>
      </c>
      <c r="O880" s="4"/>
      <c r="P880" s="4"/>
      <c r="Q880" s="11">
        <v>0</v>
      </c>
      <c r="R880" s="4"/>
      <c r="S880" s="12"/>
    </row>
    <row r="881" spans="1:19" x14ac:dyDescent="0.25">
      <c r="A881" s="9" t="s">
        <v>779</v>
      </c>
      <c r="B881" s="9" t="s">
        <v>291</v>
      </c>
      <c r="C881" s="4">
        <v>201000633</v>
      </c>
      <c r="D881" s="4" t="s">
        <v>250</v>
      </c>
      <c r="E881" s="4" t="str">
        <f>"016022010"</f>
        <v>016022010</v>
      </c>
      <c r="F881" s="10">
        <v>40149</v>
      </c>
      <c r="G881" s="11">
        <v>76420.98</v>
      </c>
      <c r="H881" s="11">
        <v>76420.98</v>
      </c>
      <c r="I881" s="4" t="s">
        <v>251</v>
      </c>
      <c r="J881" s="4" t="s">
        <v>252</v>
      </c>
      <c r="K881" s="11">
        <v>0</v>
      </c>
      <c r="L881" s="4"/>
      <c r="M881" s="4"/>
      <c r="N881" s="11">
        <v>0</v>
      </c>
      <c r="O881" s="4"/>
      <c r="P881" s="4"/>
      <c r="Q881" s="11">
        <v>0</v>
      </c>
      <c r="R881" s="4"/>
      <c r="S881" s="12"/>
    </row>
    <row r="882" spans="1:19" x14ac:dyDescent="0.25">
      <c r="A882" s="9" t="s">
        <v>779</v>
      </c>
      <c r="B882" s="9" t="s">
        <v>291</v>
      </c>
      <c r="C882" s="4">
        <v>201000633</v>
      </c>
      <c r="D882" s="4" t="s">
        <v>250</v>
      </c>
      <c r="E882" s="4" t="str">
        <f>"016042010"</f>
        <v>016042010</v>
      </c>
      <c r="F882" s="10">
        <v>40148</v>
      </c>
      <c r="G882" s="11">
        <v>17719.98</v>
      </c>
      <c r="H882" s="11">
        <v>17719.98</v>
      </c>
      <c r="I882" s="4" t="s">
        <v>251</v>
      </c>
      <c r="J882" s="4" t="s">
        <v>252</v>
      </c>
      <c r="K882" s="11">
        <v>0</v>
      </c>
      <c r="L882" s="4"/>
      <c r="M882" s="4"/>
      <c r="N882" s="11">
        <v>0</v>
      </c>
      <c r="O882" s="4"/>
      <c r="P882" s="4"/>
      <c r="Q882" s="11">
        <v>0</v>
      </c>
      <c r="R882" s="4"/>
      <c r="S882" s="12"/>
    </row>
    <row r="883" spans="1:19" x14ac:dyDescent="0.25">
      <c r="A883" s="9" t="s">
        <v>779</v>
      </c>
      <c r="B883" s="9" t="s">
        <v>291</v>
      </c>
      <c r="C883" s="4">
        <v>201000633</v>
      </c>
      <c r="D883" s="4" t="s">
        <v>250</v>
      </c>
      <c r="E883" s="4" t="str">
        <f>"016062010"</f>
        <v>016062010</v>
      </c>
      <c r="F883" s="10">
        <v>40148</v>
      </c>
      <c r="G883" s="11">
        <v>4151.83</v>
      </c>
      <c r="H883" s="11">
        <v>4151.83</v>
      </c>
      <c r="I883" s="4" t="s">
        <v>251</v>
      </c>
      <c r="J883" s="4" t="s">
        <v>252</v>
      </c>
      <c r="K883" s="11">
        <v>0</v>
      </c>
      <c r="L883" s="4"/>
      <c r="M883" s="4"/>
      <c r="N883" s="11">
        <v>0</v>
      </c>
      <c r="O883" s="4"/>
      <c r="P883" s="4"/>
      <c r="Q883" s="11">
        <v>0</v>
      </c>
      <c r="R883" s="4"/>
      <c r="S883" s="12"/>
    </row>
    <row r="884" spans="1:19" x14ac:dyDescent="0.25">
      <c r="A884" s="9" t="s">
        <v>779</v>
      </c>
      <c r="B884" s="9" t="s">
        <v>291</v>
      </c>
      <c r="C884" s="4">
        <v>201000726</v>
      </c>
      <c r="D884" s="4" t="s">
        <v>783</v>
      </c>
      <c r="E884" s="4" t="str">
        <f>"013392010"</f>
        <v>013392010</v>
      </c>
      <c r="F884" s="10">
        <v>40137</v>
      </c>
      <c r="G884" s="11">
        <v>0</v>
      </c>
      <c r="H884" s="11">
        <v>5938.68</v>
      </c>
      <c r="I884" s="4" t="s">
        <v>23</v>
      </c>
      <c r="J884" s="4" t="s">
        <v>24</v>
      </c>
      <c r="K884" s="11">
        <v>0</v>
      </c>
      <c r="L884" s="4"/>
      <c r="M884" s="4"/>
      <c r="N884" s="11">
        <v>0</v>
      </c>
      <c r="O884" s="4"/>
      <c r="P884" s="4"/>
      <c r="Q884" s="11">
        <v>0</v>
      </c>
      <c r="R884" s="4"/>
      <c r="S884" s="12"/>
    </row>
    <row r="885" spans="1:19" x14ac:dyDescent="0.25">
      <c r="A885" s="9" t="s">
        <v>779</v>
      </c>
      <c r="B885" s="9" t="s">
        <v>291</v>
      </c>
      <c r="C885" s="4">
        <v>201001071</v>
      </c>
      <c r="D885" s="4" t="s">
        <v>784</v>
      </c>
      <c r="E885" s="4" t="str">
        <f>"020762010"</f>
        <v>020762010</v>
      </c>
      <c r="F885" s="10">
        <v>40158</v>
      </c>
      <c r="G885" s="11">
        <v>500000</v>
      </c>
      <c r="H885" s="11">
        <v>500000</v>
      </c>
      <c r="I885" s="4" t="s">
        <v>179</v>
      </c>
      <c r="J885" s="4" t="s">
        <v>180</v>
      </c>
      <c r="K885" s="11">
        <v>0</v>
      </c>
      <c r="L885" s="4"/>
      <c r="M885" s="4"/>
      <c r="N885" s="11">
        <v>0</v>
      </c>
      <c r="O885" s="4"/>
      <c r="P885" s="4"/>
      <c r="Q885" s="11">
        <v>0</v>
      </c>
      <c r="R885" s="4"/>
      <c r="S885" s="12"/>
    </row>
    <row r="886" spans="1:19" x14ac:dyDescent="0.25">
      <c r="A886" s="9" t="s">
        <v>779</v>
      </c>
      <c r="B886" s="9" t="s">
        <v>291</v>
      </c>
      <c r="C886" s="4">
        <v>201001473</v>
      </c>
      <c r="D886" s="4" t="s">
        <v>785</v>
      </c>
      <c r="E886" s="4" t="str">
        <f>"031262010"</f>
        <v>031262010</v>
      </c>
      <c r="F886" s="10">
        <v>40197</v>
      </c>
      <c r="G886" s="11">
        <v>485000</v>
      </c>
      <c r="H886" s="11">
        <v>485000</v>
      </c>
      <c r="I886" s="4" t="s">
        <v>23</v>
      </c>
      <c r="J886" s="4" t="s">
        <v>24</v>
      </c>
      <c r="K886" s="11">
        <v>0</v>
      </c>
      <c r="L886" s="4"/>
      <c r="M886" s="4"/>
      <c r="N886" s="11">
        <v>0</v>
      </c>
      <c r="O886" s="4"/>
      <c r="P886" s="4"/>
      <c r="Q886" s="11">
        <v>0</v>
      </c>
      <c r="R886" s="4"/>
      <c r="S886" s="12"/>
    </row>
    <row r="887" spans="1:19" x14ac:dyDescent="0.25">
      <c r="A887" s="9" t="s">
        <v>779</v>
      </c>
      <c r="B887" s="9" t="s">
        <v>291</v>
      </c>
      <c r="C887" s="4">
        <v>201001609</v>
      </c>
      <c r="D887" s="4" t="s">
        <v>786</v>
      </c>
      <c r="E887" s="4" t="str">
        <f>"038172010"</f>
        <v>038172010</v>
      </c>
      <c r="F887" s="10">
        <v>40227</v>
      </c>
      <c r="G887" s="11">
        <v>100000</v>
      </c>
      <c r="H887" s="11">
        <v>100000</v>
      </c>
      <c r="I887" s="4" t="s">
        <v>38</v>
      </c>
      <c r="J887" s="4" t="s">
        <v>39</v>
      </c>
      <c r="K887" s="11">
        <v>0</v>
      </c>
      <c r="L887" s="4"/>
      <c r="M887" s="4"/>
      <c r="N887" s="11">
        <v>0</v>
      </c>
      <c r="O887" s="4"/>
      <c r="P887" s="4"/>
      <c r="Q887" s="11">
        <v>0</v>
      </c>
      <c r="R887" s="4"/>
      <c r="S887" s="12"/>
    </row>
    <row r="888" spans="1:19" x14ac:dyDescent="0.25">
      <c r="A888" s="9" t="s">
        <v>779</v>
      </c>
      <c r="B888" s="9" t="s">
        <v>291</v>
      </c>
      <c r="C888" s="4">
        <v>201001768</v>
      </c>
      <c r="D888" s="4" t="s">
        <v>787</v>
      </c>
      <c r="E888" s="4" t="str">
        <f>"034692010"</f>
        <v>034692010</v>
      </c>
      <c r="F888" s="10">
        <v>40213</v>
      </c>
      <c r="G888" s="11">
        <v>120000</v>
      </c>
      <c r="H888" s="11">
        <v>120000</v>
      </c>
      <c r="I888" s="4" t="s">
        <v>23</v>
      </c>
      <c r="J888" s="4" t="s">
        <v>24</v>
      </c>
      <c r="K888" s="11">
        <v>0</v>
      </c>
      <c r="L888" s="4"/>
      <c r="M888" s="4"/>
      <c r="N888" s="11">
        <v>0</v>
      </c>
      <c r="O888" s="4"/>
      <c r="P888" s="4"/>
      <c r="Q888" s="11">
        <v>0</v>
      </c>
      <c r="R888" s="4"/>
      <c r="S888" s="12"/>
    </row>
    <row r="889" spans="1:19" x14ac:dyDescent="0.25">
      <c r="A889" s="9" t="s">
        <v>779</v>
      </c>
      <c r="B889" s="9" t="s">
        <v>291</v>
      </c>
      <c r="C889" s="4">
        <v>201002311</v>
      </c>
      <c r="D889" s="4" t="s">
        <v>788</v>
      </c>
      <c r="E889" s="4" t="str">
        <f>"048812010"</f>
        <v>048812010</v>
      </c>
      <c r="F889" s="10">
        <v>40259</v>
      </c>
      <c r="G889" s="11">
        <v>85000</v>
      </c>
      <c r="H889" s="11">
        <v>85000</v>
      </c>
      <c r="I889" s="4" t="s">
        <v>30</v>
      </c>
      <c r="J889" s="4" t="s">
        <v>31</v>
      </c>
      <c r="K889" s="11">
        <v>0</v>
      </c>
      <c r="L889" s="4"/>
      <c r="M889" s="4"/>
      <c r="N889" s="11">
        <v>0</v>
      </c>
      <c r="O889" s="4"/>
      <c r="P889" s="4"/>
      <c r="Q889" s="11">
        <v>0</v>
      </c>
      <c r="R889" s="4"/>
      <c r="S889" s="12"/>
    </row>
    <row r="890" spans="1:19" x14ac:dyDescent="0.25">
      <c r="A890" s="9" t="s">
        <v>779</v>
      </c>
      <c r="B890" s="9" t="s">
        <v>291</v>
      </c>
      <c r="C890" s="4">
        <v>201002469</v>
      </c>
      <c r="D890" s="4"/>
      <c r="E890" s="4" t="str">
        <f>"059592010"</f>
        <v>059592010</v>
      </c>
      <c r="F890" s="10">
        <v>40287</v>
      </c>
      <c r="G890" s="11">
        <v>1463</v>
      </c>
      <c r="H890" s="11">
        <v>0</v>
      </c>
      <c r="I890" s="4"/>
      <c r="J890" s="4"/>
      <c r="K890" s="11">
        <v>1463</v>
      </c>
      <c r="L890" s="4" t="s">
        <v>300</v>
      </c>
      <c r="M890" s="4" t="s">
        <v>301</v>
      </c>
      <c r="N890" s="11">
        <v>0</v>
      </c>
      <c r="O890" s="4"/>
      <c r="P890" s="4"/>
      <c r="Q890" s="11">
        <v>0</v>
      </c>
      <c r="R890" s="4"/>
      <c r="S890" s="12"/>
    </row>
    <row r="891" spans="1:19" x14ac:dyDescent="0.25">
      <c r="A891" s="9" t="s">
        <v>779</v>
      </c>
      <c r="B891" s="9" t="s">
        <v>291</v>
      </c>
      <c r="C891" s="4">
        <v>201002804</v>
      </c>
      <c r="D891" s="4" t="s">
        <v>789</v>
      </c>
      <c r="E891" s="4" t="str">
        <f>"054862010"</f>
        <v>054862010</v>
      </c>
      <c r="F891" s="10">
        <v>40281</v>
      </c>
      <c r="G891" s="11">
        <v>22750</v>
      </c>
      <c r="H891" s="11">
        <v>22750</v>
      </c>
      <c r="I891" s="4" t="s">
        <v>23</v>
      </c>
      <c r="J891" s="4" t="s">
        <v>24</v>
      </c>
      <c r="K891" s="11">
        <v>0</v>
      </c>
      <c r="L891" s="4"/>
      <c r="M891" s="4"/>
      <c r="N891" s="11">
        <v>0</v>
      </c>
      <c r="O891" s="4"/>
      <c r="P891" s="4"/>
      <c r="Q891" s="11">
        <v>0</v>
      </c>
      <c r="R891" s="4"/>
      <c r="S891" s="12"/>
    </row>
    <row r="892" spans="1:19" x14ac:dyDescent="0.25">
      <c r="A892" s="9" t="s">
        <v>779</v>
      </c>
      <c r="B892" s="9" t="s">
        <v>291</v>
      </c>
      <c r="C892" s="4">
        <v>201003018</v>
      </c>
      <c r="D892" s="4" t="s">
        <v>790</v>
      </c>
      <c r="E892" s="4" t="str">
        <f>"076192010"</f>
        <v>076192010</v>
      </c>
      <c r="F892" s="10">
        <v>40333</v>
      </c>
      <c r="G892" s="11">
        <v>10000</v>
      </c>
      <c r="H892" s="11">
        <v>10000</v>
      </c>
      <c r="I892" s="4" t="s">
        <v>23</v>
      </c>
      <c r="J892" s="4" t="s">
        <v>24</v>
      </c>
      <c r="K892" s="11">
        <v>0</v>
      </c>
      <c r="L892" s="4"/>
      <c r="M892" s="4"/>
      <c r="N892" s="11">
        <v>0</v>
      </c>
      <c r="O892" s="4"/>
      <c r="P892" s="4"/>
      <c r="Q892" s="11">
        <v>0</v>
      </c>
      <c r="R892" s="4"/>
      <c r="S892" s="12"/>
    </row>
    <row r="893" spans="1:19" x14ac:dyDescent="0.25">
      <c r="A893" s="9" t="s">
        <v>779</v>
      </c>
      <c r="B893" s="9" t="s">
        <v>291</v>
      </c>
      <c r="C893" s="4">
        <v>201003706</v>
      </c>
      <c r="D893" s="4" t="s">
        <v>2534</v>
      </c>
      <c r="E893" s="4" t="str">
        <f>"074082010"</f>
        <v>074082010</v>
      </c>
      <c r="F893" s="10">
        <v>40331</v>
      </c>
      <c r="G893" s="11">
        <v>726</v>
      </c>
      <c r="H893" s="11">
        <v>0</v>
      </c>
      <c r="I893" s="4"/>
      <c r="J893" s="4"/>
      <c r="K893" s="11">
        <v>726</v>
      </c>
      <c r="L893" s="4" t="s">
        <v>300</v>
      </c>
      <c r="M893" s="4" t="s">
        <v>301</v>
      </c>
      <c r="N893" s="11">
        <v>0</v>
      </c>
      <c r="O893" s="4"/>
      <c r="P893" s="4"/>
      <c r="Q893" s="11">
        <v>0</v>
      </c>
      <c r="R893" s="4"/>
      <c r="S893" s="12"/>
    </row>
    <row r="894" spans="1:19" x14ac:dyDescent="0.25">
      <c r="A894" s="9" t="s">
        <v>779</v>
      </c>
      <c r="B894" s="9" t="s">
        <v>291</v>
      </c>
      <c r="C894" s="4">
        <v>201004168</v>
      </c>
      <c r="D894" s="4" t="s">
        <v>791</v>
      </c>
      <c r="E894" s="4" t="str">
        <f>"082452010"</f>
        <v>082452010</v>
      </c>
      <c r="F894" s="10">
        <v>40354</v>
      </c>
      <c r="G894" s="11">
        <v>27500</v>
      </c>
      <c r="H894" s="11">
        <v>27500</v>
      </c>
      <c r="I894" s="4" t="s">
        <v>179</v>
      </c>
      <c r="J894" s="4" t="s">
        <v>180</v>
      </c>
      <c r="K894" s="11">
        <v>0</v>
      </c>
      <c r="L894" s="4"/>
      <c r="M894" s="4"/>
      <c r="N894" s="11">
        <v>0</v>
      </c>
      <c r="O894" s="4"/>
      <c r="P894" s="4"/>
      <c r="Q894" s="11">
        <v>0</v>
      </c>
      <c r="R894" s="4"/>
      <c r="S894" s="12"/>
    </row>
    <row r="895" spans="1:19" x14ac:dyDescent="0.25">
      <c r="A895" s="9" t="s">
        <v>779</v>
      </c>
      <c r="B895" s="9" t="s">
        <v>291</v>
      </c>
      <c r="C895" s="4">
        <v>201004394</v>
      </c>
      <c r="D895" s="4"/>
      <c r="E895" s="4" t="str">
        <f>"100122010"</f>
        <v>100122010</v>
      </c>
      <c r="F895" s="10">
        <v>40401</v>
      </c>
      <c r="G895" s="11">
        <v>20750</v>
      </c>
      <c r="H895" s="11">
        <v>20750</v>
      </c>
      <c r="I895" s="4" t="s">
        <v>23</v>
      </c>
      <c r="J895" s="4" t="s">
        <v>24</v>
      </c>
      <c r="K895" s="11">
        <v>0</v>
      </c>
      <c r="L895" s="4"/>
      <c r="M895" s="4"/>
      <c r="N895" s="11">
        <v>0</v>
      </c>
      <c r="O895" s="4"/>
      <c r="P895" s="4"/>
      <c r="Q895" s="11">
        <v>0</v>
      </c>
      <c r="R895" s="4"/>
      <c r="S895" s="12"/>
    </row>
    <row r="896" spans="1:19" x14ac:dyDescent="0.25">
      <c r="A896" s="9" t="s">
        <v>779</v>
      </c>
      <c r="B896" s="9" t="s">
        <v>291</v>
      </c>
      <c r="C896" s="4">
        <v>201004455</v>
      </c>
      <c r="D896" s="4" t="s">
        <v>792</v>
      </c>
      <c r="E896" s="4" t="str">
        <f>"091302010"</f>
        <v>091302010</v>
      </c>
      <c r="F896" s="10">
        <v>40368</v>
      </c>
      <c r="G896" s="11">
        <v>40000</v>
      </c>
      <c r="H896" s="11">
        <v>40000</v>
      </c>
      <c r="I896" s="4" t="s">
        <v>38</v>
      </c>
      <c r="J896" s="4" t="s">
        <v>39</v>
      </c>
      <c r="K896" s="11">
        <v>0</v>
      </c>
      <c r="L896" s="4"/>
      <c r="M896" s="4"/>
      <c r="N896" s="11">
        <v>0</v>
      </c>
      <c r="O896" s="4"/>
      <c r="P896" s="4"/>
      <c r="Q896" s="11">
        <v>0</v>
      </c>
      <c r="R896" s="4"/>
      <c r="S896" s="12"/>
    </row>
    <row r="897" spans="1:19" x14ac:dyDescent="0.25">
      <c r="A897" s="9" t="s">
        <v>779</v>
      </c>
      <c r="B897" s="9" t="s">
        <v>291</v>
      </c>
      <c r="C897" s="4">
        <v>201004663</v>
      </c>
      <c r="D897" s="4" t="s">
        <v>793</v>
      </c>
      <c r="E897" s="4" t="str">
        <f>"092582010"</f>
        <v>092582010</v>
      </c>
      <c r="F897" s="10">
        <v>40373</v>
      </c>
      <c r="G897" s="11">
        <v>320000</v>
      </c>
      <c r="H897" s="11">
        <v>320000</v>
      </c>
      <c r="I897" s="4" t="s">
        <v>38</v>
      </c>
      <c r="J897" s="4" t="s">
        <v>39</v>
      </c>
      <c r="K897" s="11">
        <v>0</v>
      </c>
      <c r="L897" s="4"/>
      <c r="M897" s="4"/>
      <c r="N897" s="11">
        <v>0</v>
      </c>
      <c r="O897" s="4"/>
      <c r="P897" s="4"/>
      <c r="Q897" s="11">
        <v>0</v>
      </c>
      <c r="R897" s="4"/>
      <c r="S897" s="12"/>
    </row>
    <row r="898" spans="1:19" x14ac:dyDescent="0.25">
      <c r="A898" s="9" t="s">
        <v>779</v>
      </c>
      <c r="B898" s="9" t="s">
        <v>291</v>
      </c>
      <c r="C898" s="4">
        <v>201004764</v>
      </c>
      <c r="D898" s="4"/>
      <c r="E898" s="4" t="str">
        <f>"096232010"</f>
        <v>096232010</v>
      </c>
      <c r="F898" s="10">
        <v>40387</v>
      </c>
      <c r="G898" s="11">
        <v>62500</v>
      </c>
      <c r="H898" s="11">
        <v>62500</v>
      </c>
      <c r="I898" s="4" t="s">
        <v>23</v>
      </c>
      <c r="J898" s="4" t="s">
        <v>24</v>
      </c>
      <c r="K898" s="11">
        <v>0</v>
      </c>
      <c r="L898" s="4"/>
      <c r="M898" s="4"/>
      <c r="N898" s="11">
        <v>0</v>
      </c>
      <c r="O898" s="4"/>
      <c r="P898" s="4"/>
      <c r="Q898" s="11">
        <v>0</v>
      </c>
      <c r="R898" s="4"/>
      <c r="S898" s="12"/>
    </row>
    <row r="899" spans="1:19" x14ac:dyDescent="0.25">
      <c r="A899" s="9" t="s">
        <v>779</v>
      </c>
      <c r="B899" s="9" t="s">
        <v>291</v>
      </c>
      <c r="C899" s="4">
        <v>201004991</v>
      </c>
      <c r="D899" s="4" t="s">
        <v>764</v>
      </c>
      <c r="E899" s="4" t="str">
        <f>"101652010"</f>
        <v>101652010</v>
      </c>
      <c r="F899" s="10">
        <v>40407</v>
      </c>
      <c r="G899" s="11">
        <v>112500</v>
      </c>
      <c r="H899" s="11">
        <v>112500</v>
      </c>
      <c r="I899" s="4" t="s">
        <v>179</v>
      </c>
      <c r="J899" s="4" t="s">
        <v>180</v>
      </c>
      <c r="K899" s="11">
        <v>0</v>
      </c>
      <c r="L899" s="4"/>
      <c r="M899" s="4"/>
      <c r="N899" s="11">
        <v>0</v>
      </c>
      <c r="O899" s="4"/>
      <c r="P899" s="4"/>
      <c r="Q899" s="11">
        <v>0</v>
      </c>
      <c r="R899" s="4"/>
      <c r="S899" s="12"/>
    </row>
    <row r="900" spans="1:19" x14ac:dyDescent="0.25">
      <c r="A900" s="9" t="s">
        <v>779</v>
      </c>
      <c r="B900" s="9" t="s">
        <v>291</v>
      </c>
      <c r="C900" s="4">
        <v>201005201</v>
      </c>
      <c r="D900" s="4" t="s">
        <v>794</v>
      </c>
      <c r="E900" s="4" t="str">
        <f>"103572010"</f>
        <v>103572010</v>
      </c>
      <c r="F900" s="10">
        <v>40410</v>
      </c>
      <c r="G900" s="11">
        <v>3541.07</v>
      </c>
      <c r="H900" s="11">
        <v>3541.07</v>
      </c>
      <c r="I900" s="4" t="s">
        <v>23</v>
      </c>
      <c r="J900" s="4" t="s">
        <v>24</v>
      </c>
      <c r="K900" s="11">
        <v>0</v>
      </c>
      <c r="L900" s="4"/>
      <c r="M900" s="4"/>
      <c r="N900" s="11">
        <v>0</v>
      </c>
      <c r="O900" s="4"/>
      <c r="P900" s="4"/>
      <c r="Q900" s="11">
        <v>0</v>
      </c>
      <c r="R900" s="4"/>
      <c r="S900" s="12"/>
    </row>
    <row r="901" spans="1:19" x14ac:dyDescent="0.25">
      <c r="A901" s="9" t="s">
        <v>779</v>
      </c>
      <c r="B901" s="9" t="s">
        <v>291</v>
      </c>
      <c r="C901" s="4">
        <v>201005207</v>
      </c>
      <c r="D901" s="4" t="s">
        <v>795</v>
      </c>
      <c r="E901" s="4" t="str">
        <f>"104172010"</f>
        <v>104172010</v>
      </c>
      <c r="F901" s="10">
        <v>40413</v>
      </c>
      <c r="G901" s="11">
        <v>3000</v>
      </c>
      <c r="H901" s="11">
        <v>3000</v>
      </c>
      <c r="I901" s="4" t="s">
        <v>23</v>
      </c>
      <c r="J901" s="4" t="s">
        <v>24</v>
      </c>
      <c r="K901" s="11">
        <v>0</v>
      </c>
      <c r="L901" s="4"/>
      <c r="M901" s="4"/>
      <c r="N901" s="11">
        <v>0</v>
      </c>
      <c r="O901" s="4"/>
      <c r="P901" s="4"/>
      <c r="Q901" s="11">
        <v>0</v>
      </c>
      <c r="R901" s="4"/>
      <c r="S901" s="12"/>
    </row>
    <row r="902" spans="1:19" x14ac:dyDescent="0.25">
      <c r="A902" s="9" t="s">
        <v>779</v>
      </c>
      <c r="B902" s="9" t="s">
        <v>291</v>
      </c>
      <c r="C902" s="4">
        <v>201005518</v>
      </c>
      <c r="D902" s="4" t="s">
        <v>796</v>
      </c>
      <c r="E902" s="4" t="str">
        <f>"111172010"</f>
        <v>111172010</v>
      </c>
      <c r="F902" s="10">
        <v>40436</v>
      </c>
      <c r="G902" s="11">
        <v>42000</v>
      </c>
      <c r="H902" s="11">
        <v>42000</v>
      </c>
      <c r="I902" s="4" t="s">
        <v>23</v>
      </c>
      <c r="J902" s="4" t="s">
        <v>24</v>
      </c>
      <c r="K902" s="11">
        <v>0</v>
      </c>
      <c r="L902" s="4"/>
      <c r="M902" s="4"/>
      <c r="N902" s="11">
        <v>0</v>
      </c>
      <c r="O902" s="4"/>
      <c r="P902" s="4"/>
      <c r="Q902" s="11">
        <v>0</v>
      </c>
      <c r="R902" s="4"/>
      <c r="S902" s="12"/>
    </row>
    <row r="903" spans="1:19" x14ac:dyDescent="0.25">
      <c r="A903" s="9" t="s">
        <v>797</v>
      </c>
      <c r="B903" s="9" t="s">
        <v>291</v>
      </c>
      <c r="C903" s="4">
        <v>200905944</v>
      </c>
      <c r="D903" s="4"/>
      <c r="E903" s="4" t="str">
        <f>"087382009"</f>
        <v>087382009</v>
      </c>
      <c r="F903" s="10">
        <v>40091</v>
      </c>
      <c r="G903" s="11">
        <v>2057.54</v>
      </c>
      <c r="H903" s="11">
        <v>0</v>
      </c>
      <c r="I903" s="4"/>
      <c r="J903" s="4"/>
      <c r="K903" s="11">
        <v>2057.54</v>
      </c>
      <c r="L903" s="4" t="s">
        <v>798</v>
      </c>
      <c r="M903" s="4" t="s">
        <v>799</v>
      </c>
      <c r="N903" s="11">
        <v>0</v>
      </c>
      <c r="O903" s="4"/>
      <c r="P903" s="4"/>
      <c r="Q903" s="11">
        <v>0</v>
      </c>
      <c r="R903" s="4"/>
      <c r="S903" s="12"/>
    </row>
    <row r="904" spans="1:19" x14ac:dyDescent="0.25">
      <c r="A904" s="9" t="s">
        <v>797</v>
      </c>
      <c r="B904" s="9" t="s">
        <v>291</v>
      </c>
      <c r="C904" s="4">
        <v>201000028</v>
      </c>
      <c r="D904" s="4" t="s">
        <v>2534</v>
      </c>
      <c r="E904" s="4" t="str">
        <f>"000942010"</f>
        <v>000942010</v>
      </c>
      <c r="F904" s="10">
        <v>40094</v>
      </c>
      <c r="G904" s="11">
        <v>31140</v>
      </c>
      <c r="H904" s="11">
        <v>0</v>
      </c>
      <c r="I904" s="4"/>
      <c r="J904" s="4"/>
      <c r="K904" s="11">
        <v>30790</v>
      </c>
      <c r="L904" s="4" t="s">
        <v>344</v>
      </c>
      <c r="M904" s="4" t="s">
        <v>345</v>
      </c>
      <c r="N904" s="11">
        <v>350</v>
      </c>
      <c r="O904" s="4" t="s">
        <v>56</v>
      </c>
      <c r="P904" s="4" t="s">
        <v>57</v>
      </c>
      <c r="Q904" s="11">
        <v>0</v>
      </c>
      <c r="R904" s="4"/>
      <c r="S904" s="12"/>
    </row>
    <row r="905" spans="1:19" x14ac:dyDescent="0.25">
      <c r="A905" s="9" t="s">
        <v>797</v>
      </c>
      <c r="B905" s="9" t="s">
        <v>291</v>
      </c>
      <c r="C905" s="4">
        <v>201000162</v>
      </c>
      <c r="D905" s="4" t="s">
        <v>2534</v>
      </c>
      <c r="E905" s="4" t="str">
        <f>"003242010"</f>
        <v>003242010</v>
      </c>
      <c r="F905" s="10">
        <v>40101</v>
      </c>
      <c r="G905" s="11">
        <v>30370</v>
      </c>
      <c r="H905" s="11">
        <v>0</v>
      </c>
      <c r="I905" s="4"/>
      <c r="J905" s="4"/>
      <c r="K905" s="11">
        <v>30370</v>
      </c>
      <c r="L905" s="4" t="s">
        <v>798</v>
      </c>
      <c r="M905" s="4" t="s">
        <v>799</v>
      </c>
      <c r="N905" s="11">
        <v>0</v>
      </c>
      <c r="O905" s="4"/>
      <c r="P905" s="4"/>
      <c r="Q905" s="11">
        <v>0</v>
      </c>
      <c r="R905" s="4"/>
      <c r="S905" s="12"/>
    </row>
    <row r="906" spans="1:19" x14ac:dyDescent="0.25">
      <c r="A906" s="9" t="s">
        <v>797</v>
      </c>
      <c r="B906" s="9" t="s">
        <v>291</v>
      </c>
      <c r="C906" s="4">
        <v>201000385</v>
      </c>
      <c r="D906" s="4"/>
      <c r="E906" s="4" t="str">
        <f>"008032010"</f>
        <v>008032010</v>
      </c>
      <c r="F906" s="10">
        <v>40116</v>
      </c>
      <c r="G906" s="11">
        <v>21311</v>
      </c>
      <c r="H906" s="11">
        <v>21311</v>
      </c>
      <c r="I906" s="4" t="s">
        <v>798</v>
      </c>
      <c r="J906" s="4" t="s">
        <v>799</v>
      </c>
      <c r="K906" s="11">
        <v>0</v>
      </c>
      <c r="L906" s="4"/>
      <c r="M906" s="4"/>
      <c r="N906" s="11">
        <v>0</v>
      </c>
      <c r="O906" s="4"/>
      <c r="P906" s="4"/>
      <c r="Q906" s="11">
        <v>0</v>
      </c>
      <c r="R906" s="4"/>
      <c r="S906" s="12"/>
    </row>
    <row r="907" spans="1:19" x14ac:dyDescent="0.25">
      <c r="A907" s="9" t="s">
        <v>797</v>
      </c>
      <c r="B907" s="9" t="s">
        <v>291</v>
      </c>
      <c r="C907" s="4">
        <v>201000588</v>
      </c>
      <c r="D907" s="4"/>
      <c r="E907" s="4" t="str">
        <f>"041772010"</f>
        <v>041772010</v>
      </c>
      <c r="F907" s="10">
        <v>40240</v>
      </c>
      <c r="G907" s="11">
        <v>20971.12</v>
      </c>
      <c r="H907" s="11">
        <v>0</v>
      </c>
      <c r="I907" s="4"/>
      <c r="J907" s="4"/>
      <c r="K907" s="11">
        <v>20971.12</v>
      </c>
      <c r="L907" s="4" t="s">
        <v>798</v>
      </c>
      <c r="M907" s="4" t="s">
        <v>799</v>
      </c>
      <c r="N907" s="11">
        <v>0</v>
      </c>
      <c r="O907" s="4"/>
      <c r="P907" s="4"/>
      <c r="Q907" s="11">
        <v>0</v>
      </c>
      <c r="R907" s="4"/>
      <c r="S907" s="12"/>
    </row>
    <row r="908" spans="1:19" x14ac:dyDescent="0.25">
      <c r="A908" s="9" t="s">
        <v>797</v>
      </c>
      <c r="B908" s="9" t="s">
        <v>291</v>
      </c>
      <c r="C908" s="4">
        <v>201000589</v>
      </c>
      <c r="D908" s="4"/>
      <c r="E908" s="4" t="str">
        <f>"010992010"</f>
        <v>010992010</v>
      </c>
      <c r="F908" s="10">
        <v>40130</v>
      </c>
      <c r="G908" s="11">
        <v>1150</v>
      </c>
      <c r="H908" s="11">
        <v>0</v>
      </c>
      <c r="I908" s="4"/>
      <c r="J908" s="4"/>
      <c r="K908" s="11">
        <v>1150</v>
      </c>
      <c r="L908" s="4" t="s">
        <v>344</v>
      </c>
      <c r="M908" s="4" t="s">
        <v>345</v>
      </c>
      <c r="N908" s="11">
        <v>0</v>
      </c>
      <c r="O908" s="4"/>
      <c r="P908" s="4"/>
      <c r="Q908" s="11">
        <v>0</v>
      </c>
      <c r="R908" s="4"/>
      <c r="S908" s="12"/>
    </row>
    <row r="909" spans="1:19" x14ac:dyDescent="0.25">
      <c r="A909" s="9" t="s">
        <v>797</v>
      </c>
      <c r="B909" s="9" t="s">
        <v>291</v>
      </c>
      <c r="C909" s="4">
        <v>201000590</v>
      </c>
      <c r="D909" s="4"/>
      <c r="E909" s="4" t="str">
        <f>"011472010"</f>
        <v>011472010</v>
      </c>
      <c r="F909" s="10">
        <v>40133</v>
      </c>
      <c r="G909" s="11">
        <v>11500</v>
      </c>
      <c r="H909" s="11">
        <v>0</v>
      </c>
      <c r="I909" s="4"/>
      <c r="J909" s="4"/>
      <c r="K909" s="11">
        <v>11500</v>
      </c>
      <c r="L909" s="4" t="s">
        <v>798</v>
      </c>
      <c r="M909" s="4" t="s">
        <v>799</v>
      </c>
      <c r="N909" s="11">
        <v>0</v>
      </c>
      <c r="O909" s="4"/>
      <c r="P909" s="4"/>
      <c r="Q909" s="11">
        <v>0</v>
      </c>
      <c r="R909" s="4"/>
      <c r="S909" s="12"/>
    </row>
    <row r="910" spans="1:19" x14ac:dyDescent="0.25">
      <c r="A910" s="9" t="s">
        <v>797</v>
      </c>
      <c r="B910" s="9" t="s">
        <v>291</v>
      </c>
      <c r="C910" s="4">
        <v>201000616</v>
      </c>
      <c r="D910" s="4" t="s">
        <v>800</v>
      </c>
      <c r="E910" s="4" t="str">
        <f>"011372010"</f>
        <v>011372010</v>
      </c>
      <c r="F910" s="10">
        <v>40129</v>
      </c>
      <c r="G910" s="11">
        <v>4828.13</v>
      </c>
      <c r="H910" s="11">
        <v>0</v>
      </c>
      <c r="I910" s="4"/>
      <c r="J910" s="4"/>
      <c r="K910" s="11">
        <v>0</v>
      </c>
      <c r="L910" s="4"/>
      <c r="M910" s="4"/>
      <c r="N910" s="11">
        <v>4828.13</v>
      </c>
      <c r="O910" s="4" t="s">
        <v>56</v>
      </c>
      <c r="P910" s="4" t="s">
        <v>57</v>
      </c>
      <c r="Q910" s="11">
        <v>0</v>
      </c>
      <c r="R910" s="4"/>
      <c r="S910" s="12"/>
    </row>
    <row r="911" spans="1:19" x14ac:dyDescent="0.25">
      <c r="A911" s="9" t="s">
        <v>797</v>
      </c>
      <c r="B911" s="9" t="s">
        <v>291</v>
      </c>
      <c r="C911" s="4">
        <v>201000619</v>
      </c>
      <c r="D911" s="4"/>
      <c r="E911" s="4" t="str">
        <f>"011972010"</f>
        <v>011972010</v>
      </c>
      <c r="F911" s="10">
        <v>40133</v>
      </c>
      <c r="G911" s="11">
        <v>1476.21</v>
      </c>
      <c r="H911" s="11">
        <v>0</v>
      </c>
      <c r="I911" s="4"/>
      <c r="J911" s="4"/>
      <c r="K911" s="11">
        <v>1476.21</v>
      </c>
      <c r="L911" s="4" t="s">
        <v>344</v>
      </c>
      <c r="M911" s="4" t="s">
        <v>345</v>
      </c>
      <c r="N911" s="11">
        <v>0</v>
      </c>
      <c r="O911" s="4"/>
      <c r="P911" s="4"/>
      <c r="Q911" s="11">
        <v>0</v>
      </c>
      <c r="R911" s="4"/>
      <c r="S911" s="12"/>
    </row>
    <row r="912" spans="1:19" x14ac:dyDescent="0.25">
      <c r="A912" s="9" t="s">
        <v>797</v>
      </c>
      <c r="B912" s="9" t="s">
        <v>291</v>
      </c>
      <c r="C912" s="4">
        <v>201000673</v>
      </c>
      <c r="D912" s="4"/>
      <c r="E912" s="4" t="str">
        <f>"013212010"</f>
        <v>013212010</v>
      </c>
      <c r="F912" s="10">
        <v>40141</v>
      </c>
      <c r="G912" s="11">
        <v>27427.5</v>
      </c>
      <c r="H912" s="11">
        <v>0</v>
      </c>
      <c r="I912" s="4"/>
      <c r="J912" s="4"/>
      <c r="K912" s="11">
        <v>27427.5</v>
      </c>
      <c r="L912" s="4" t="s">
        <v>798</v>
      </c>
      <c r="M912" s="4" t="s">
        <v>799</v>
      </c>
      <c r="N912" s="11">
        <v>0</v>
      </c>
      <c r="O912" s="4"/>
      <c r="P912" s="4"/>
      <c r="Q912" s="11">
        <v>0</v>
      </c>
      <c r="R912" s="4"/>
      <c r="S912" s="12"/>
    </row>
    <row r="913" spans="1:19" x14ac:dyDescent="0.25">
      <c r="A913" s="9" t="s">
        <v>797</v>
      </c>
      <c r="B913" s="9" t="s">
        <v>291</v>
      </c>
      <c r="C913" s="4">
        <v>201000839</v>
      </c>
      <c r="D913" s="4" t="s">
        <v>801</v>
      </c>
      <c r="E913" s="4" t="str">
        <f>"016162010"</f>
        <v>016162010</v>
      </c>
      <c r="F913" s="10">
        <v>40149</v>
      </c>
      <c r="G913" s="11">
        <v>198.66</v>
      </c>
      <c r="H913" s="11">
        <v>198.66</v>
      </c>
      <c r="I913" s="4" t="s">
        <v>54</v>
      </c>
      <c r="J913" s="4" t="s">
        <v>55</v>
      </c>
      <c r="K913" s="11">
        <v>0</v>
      </c>
      <c r="L913" s="4"/>
      <c r="M913" s="4"/>
      <c r="N913" s="11">
        <v>0</v>
      </c>
      <c r="O913" s="4"/>
      <c r="P913" s="4"/>
      <c r="Q913" s="11">
        <v>0</v>
      </c>
      <c r="R913" s="4"/>
      <c r="S913" s="12"/>
    </row>
    <row r="914" spans="1:19" x14ac:dyDescent="0.25">
      <c r="A914" s="9" t="s">
        <v>797</v>
      </c>
      <c r="B914" s="9" t="s">
        <v>291</v>
      </c>
      <c r="C914" s="4">
        <v>201000938</v>
      </c>
      <c r="D914" s="4"/>
      <c r="E914" s="4" t="str">
        <f>"018532010"</f>
        <v>018532010</v>
      </c>
      <c r="F914" s="10">
        <v>40155</v>
      </c>
      <c r="G914" s="11">
        <v>3314.48</v>
      </c>
      <c r="H914" s="11">
        <v>0</v>
      </c>
      <c r="I914" s="4"/>
      <c r="J914" s="4"/>
      <c r="K914" s="11">
        <v>0</v>
      </c>
      <c r="L914" s="4"/>
      <c r="M914" s="4"/>
      <c r="N914" s="11">
        <v>3314.48</v>
      </c>
      <c r="O914" s="4" t="s">
        <v>344</v>
      </c>
      <c r="P914" s="4" t="s">
        <v>345</v>
      </c>
      <c r="Q914" s="11">
        <v>0</v>
      </c>
      <c r="R914" s="4"/>
      <c r="S914" s="12"/>
    </row>
    <row r="915" spans="1:19" x14ac:dyDescent="0.25">
      <c r="A915" s="9" t="s">
        <v>797</v>
      </c>
      <c r="B915" s="9" t="s">
        <v>291</v>
      </c>
      <c r="C915" s="4">
        <v>201001172</v>
      </c>
      <c r="D915" s="4"/>
      <c r="E915" s="4" t="str">
        <f>"023752010"</f>
        <v>023752010</v>
      </c>
      <c r="F915" s="10">
        <v>40164</v>
      </c>
      <c r="G915" s="11">
        <v>4901.26</v>
      </c>
      <c r="H915" s="11">
        <v>0</v>
      </c>
      <c r="I915" s="4"/>
      <c r="J915" s="4"/>
      <c r="K915" s="11">
        <v>4901.26</v>
      </c>
      <c r="L915" s="4" t="s">
        <v>798</v>
      </c>
      <c r="M915" s="4" t="s">
        <v>799</v>
      </c>
      <c r="N915" s="11">
        <v>0</v>
      </c>
      <c r="O915" s="4"/>
      <c r="P915" s="4"/>
      <c r="Q915" s="11">
        <v>0</v>
      </c>
      <c r="R915" s="4"/>
      <c r="S915" s="12"/>
    </row>
    <row r="916" spans="1:19" x14ac:dyDescent="0.25">
      <c r="A916" s="9" t="s">
        <v>797</v>
      </c>
      <c r="B916" s="9" t="s">
        <v>291</v>
      </c>
      <c r="C916" s="4">
        <v>201001261</v>
      </c>
      <c r="D916" s="4"/>
      <c r="E916" s="4" t="str">
        <f>"025772010"</f>
        <v>025772010</v>
      </c>
      <c r="F916" s="10">
        <v>40186</v>
      </c>
      <c r="G916" s="11">
        <v>25000</v>
      </c>
      <c r="H916" s="11">
        <v>25000</v>
      </c>
      <c r="I916" s="4" t="s">
        <v>30</v>
      </c>
      <c r="J916" s="4" t="s">
        <v>31</v>
      </c>
      <c r="K916" s="11">
        <v>0</v>
      </c>
      <c r="L916" s="4"/>
      <c r="M916" s="4"/>
      <c r="N916" s="11">
        <v>0</v>
      </c>
      <c r="O916" s="4"/>
      <c r="P916" s="4"/>
      <c r="Q916" s="11">
        <v>0</v>
      </c>
      <c r="R916" s="4"/>
      <c r="S916" s="12"/>
    </row>
    <row r="917" spans="1:19" x14ac:dyDescent="0.25">
      <c r="A917" s="9" t="s">
        <v>797</v>
      </c>
      <c r="B917" s="9" t="s">
        <v>291</v>
      </c>
      <c r="C917" s="4">
        <v>201001261</v>
      </c>
      <c r="D917" s="4"/>
      <c r="E917" s="4" t="str">
        <f>"025792010"</f>
        <v>025792010</v>
      </c>
      <c r="F917" s="10">
        <v>40186</v>
      </c>
      <c r="G917" s="11">
        <v>20000</v>
      </c>
      <c r="H917" s="11">
        <v>20000</v>
      </c>
      <c r="I917" s="4" t="s">
        <v>30</v>
      </c>
      <c r="J917" s="4" t="s">
        <v>31</v>
      </c>
      <c r="K917" s="11">
        <v>0</v>
      </c>
      <c r="L917" s="4"/>
      <c r="M917" s="4"/>
      <c r="N917" s="11">
        <v>0</v>
      </c>
      <c r="O917" s="4"/>
      <c r="P917" s="4"/>
      <c r="Q917" s="11">
        <v>0</v>
      </c>
      <c r="R917" s="4"/>
      <c r="S917" s="12"/>
    </row>
    <row r="918" spans="1:19" x14ac:dyDescent="0.25">
      <c r="A918" s="9" t="s">
        <v>797</v>
      </c>
      <c r="B918" s="9" t="s">
        <v>291</v>
      </c>
      <c r="C918" s="4">
        <v>201001324</v>
      </c>
      <c r="D918" s="4" t="s">
        <v>802</v>
      </c>
      <c r="E918" s="4" t="str">
        <f>"028242010"</f>
        <v>028242010</v>
      </c>
      <c r="F918" s="10">
        <v>40189</v>
      </c>
      <c r="G918" s="11">
        <v>1125000</v>
      </c>
      <c r="H918" s="11">
        <v>1125000</v>
      </c>
      <c r="I918" s="4" t="s">
        <v>142</v>
      </c>
      <c r="J918" s="4" t="s">
        <v>143</v>
      </c>
      <c r="K918" s="11">
        <v>0</v>
      </c>
      <c r="L918" s="4"/>
      <c r="M918" s="4"/>
      <c r="N918" s="11">
        <v>0</v>
      </c>
      <c r="O918" s="4"/>
      <c r="P918" s="4"/>
      <c r="Q918" s="11">
        <v>0</v>
      </c>
      <c r="R918" s="4"/>
      <c r="S918" s="12"/>
    </row>
    <row r="919" spans="1:19" x14ac:dyDescent="0.25">
      <c r="A919" s="9" t="s">
        <v>797</v>
      </c>
      <c r="B919" s="9" t="s">
        <v>291</v>
      </c>
      <c r="C919" s="4">
        <v>201001550</v>
      </c>
      <c r="D919" s="4"/>
      <c r="E919" s="4" t="str">
        <f>"046962010"</f>
        <v>046962010</v>
      </c>
      <c r="F919" s="10">
        <v>40252</v>
      </c>
      <c r="G919" s="11">
        <v>0</v>
      </c>
      <c r="H919" s="11">
        <v>0</v>
      </c>
      <c r="I919" s="4"/>
      <c r="J919" s="4"/>
      <c r="K919" s="11">
        <v>20971</v>
      </c>
      <c r="L919" s="4" t="s">
        <v>798</v>
      </c>
      <c r="M919" s="4" t="s">
        <v>799</v>
      </c>
      <c r="N919" s="11">
        <v>0</v>
      </c>
      <c r="O919" s="4"/>
      <c r="P919" s="4"/>
      <c r="Q919" s="11">
        <v>0</v>
      </c>
      <c r="R919" s="4"/>
      <c r="S919" s="12"/>
    </row>
    <row r="920" spans="1:19" x14ac:dyDescent="0.25">
      <c r="A920" s="9" t="s">
        <v>797</v>
      </c>
      <c r="B920" s="9" t="s">
        <v>291</v>
      </c>
      <c r="C920" s="4">
        <v>201001552</v>
      </c>
      <c r="D920" s="4"/>
      <c r="E920" s="4" t="str">
        <f>"030212010"</f>
        <v>030212010</v>
      </c>
      <c r="F920" s="10">
        <v>40192</v>
      </c>
      <c r="G920" s="11">
        <v>13634.5</v>
      </c>
      <c r="H920" s="11">
        <v>0</v>
      </c>
      <c r="I920" s="4"/>
      <c r="J920" s="4"/>
      <c r="K920" s="11">
        <v>13634.5</v>
      </c>
      <c r="L920" s="4" t="s">
        <v>803</v>
      </c>
      <c r="M920" s="4" t="s">
        <v>804</v>
      </c>
      <c r="N920" s="11">
        <v>0</v>
      </c>
      <c r="O920" s="4"/>
      <c r="P920" s="4"/>
      <c r="Q920" s="11">
        <v>0</v>
      </c>
      <c r="R920" s="4"/>
      <c r="S920" s="12"/>
    </row>
    <row r="921" spans="1:19" x14ac:dyDescent="0.25">
      <c r="A921" s="9" t="s">
        <v>797</v>
      </c>
      <c r="B921" s="9" t="s">
        <v>291</v>
      </c>
      <c r="C921" s="4">
        <v>201001622</v>
      </c>
      <c r="D921" s="4"/>
      <c r="E921" s="4" t="str">
        <f>"032302010"</f>
        <v>032302010</v>
      </c>
      <c r="F921" s="10">
        <v>40205</v>
      </c>
      <c r="G921" s="11">
        <v>4000</v>
      </c>
      <c r="H921" s="11">
        <v>0</v>
      </c>
      <c r="I921" s="4"/>
      <c r="J921" s="4"/>
      <c r="K921" s="11">
        <v>4000</v>
      </c>
      <c r="L921" s="4" t="s">
        <v>798</v>
      </c>
      <c r="M921" s="4" t="s">
        <v>799</v>
      </c>
      <c r="N921" s="11">
        <v>0</v>
      </c>
      <c r="O921" s="4"/>
      <c r="P921" s="4"/>
      <c r="Q921" s="11">
        <v>0</v>
      </c>
      <c r="R921" s="4"/>
      <c r="S921" s="12"/>
    </row>
    <row r="922" spans="1:19" x14ac:dyDescent="0.25">
      <c r="A922" s="9" t="s">
        <v>797</v>
      </c>
      <c r="B922" s="9" t="s">
        <v>291</v>
      </c>
      <c r="C922" s="4">
        <v>201002038</v>
      </c>
      <c r="D922" s="4"/>
      <c r="E922" s="4" t="str">
        <f>"040922010"</f>
        <v>040922010</v>
      </c>
      <c r="F922" s="10">
        <v>40233</v>
      </c>
      <c r="G922" s="11">
        <v>2847.64</v>
      </c>
      <c r="H922" s="11">
        <v>0</v>
      </c>
      <c r="I922" s="4"/>
      <c r="J922" s="4"/>
      <c r="K922" s="11">
        <v>2847.64</v>
      </c>
      <c r="L922" s="4" t="s">
        <v>798</v>
      </c>
      <c r="M922" s="4" t="s">
        <v>799</v>
      </c>
      <c r="N922" s="11">
        <v>0</v>
      </c>
      <c r="O922" s="4"/>
      <c r="P922" s="4"/>
      <c r="Q922" s="11">
        <v>0</v>
      </c>
      <c r="R922" s="4"/>
      <c r="S922" s="12"/>
    </row>
    <row r="923" spans="1:19" x14ac:dyDescent="0.25">
      <c r="A923" s="9" t="s">
        <v>797</v>
      </c>
      <c r="B923" s="9" t="s">
        <v>291</v>
      </c>
      <c r="C923" s="4">
        <v>201002041</v>
      </c>
      <c r="D923" s="4"/>
      <c r="E923" s="4" t="str">
        <f>"040882010"</f>
        <v>040882010</v>
      </c>
      <c r="F923" s="10">
        <v>40234</v>
      </c>
      <c r="G923" s="11">
        <v>6312.83</v>
      </c>
      <c r="H923" s="11">
        <v>0</v>
      </c>
      <c r="I923" s="4"/>
      <c r="J923" s="4"/>
      <c r="K923" s="11">
        <v>6312.83</v>
      </c>
      <c r="L923" s="4" t="s">
        <v>798</v>
      </c>
      <c r="M923" s="4" t="s">
        <v>799</v>
      </c>
      <c r="N923" s="11">
        <v>0</v>
      </c>
      <c r="O923" s="4"/>
      <c r="P923" s="4"/>
      <c r="Q923" s="11">
        <v>0</v>
      </c>
      <c r="R923" s="4"/>
      <c r="S923" s="12"/>
    </row>
    <row r="924" spans="1:19" x14ac:dyDescent="0.25">
      <c r="A924" s="9" t="s">
        <v>797</v>
      </c>
      <c r="B924" s="9" t="s">
        <v>291</v>
      </c>
      <c r="C924" s="4">
        <v>201002121</v>
      </c>
      <c r="D924" s="4"/>
      <c r="E924" s="4" t="str">
        <f>"043352010"</f>
        <v>043352010</v>
      </c>
      <c r="F924" s="10">
        <v>40241</v>
      </c>
      <c r="G924" s="11">
        <v>16000</v>
      </c>
      <c r="H924" s="11">
        <v>0</v>
      </c>
      <c r="I924" s="4"/>
      <c r="J924" s="4"/>
      <c r="K924" s="11">
        <v>16000</v>
      </c>
      <c r="L924" s="4" t="s">
        <v>798</v>
      </c>
      <c r="M924" s="4" t="s">
        <v>799</v>
      </c>
      <c r="N924" s="11">
        <v>0</v>
      </c>
      <c r="O924" s="4"/>
      <c r="P924" s="4"/>
      <c r="Q924" s="11">
        <v>0</v>
      </c>
      <c r="R924" s="4"/>
      <c r="S924" s="12"/>
    </row>
    <row r="925" spans="1:19" x14ac:dyDescent="0.25">
      <c r="A925" s="9" t="s">
        <v>797</v>
      </c>
      <c r="B925" s="9" t="s">
        <v>291</v>
      </c>
      <c r="C925" s="4">
        <v>201002180</v>
      </c>
      <c r="D925" s="4"/>
      <c r="E925" s="4" t="str">
        <f>"043852010"</f>
        <v>043852010</v>
      </c>
      <c r="F925" s="10">
        <v>40240</v>
      </c>
      <c r="G925" s="11">
        <v>62393</v>
      </c>
      <c r="H925" s="11">
        <v>0</v>
      </c>
      <c r="I925" s="4"/>
      <c r="J925" s="4"/>
      <c r="K925" s="11">
        <v>62393</v>
      </c>
      <c r="L925" s="4" t="s">
        <v>805</v>
      </c>
      <c r="M925" s="4" t="s">
        <v>806</v>
      </c>
      <c r="N925" s="11">
        <v>0</v>
      </c>
      <c r="O925" s="4"/>
      <c r="P925" s="4"/>
      <c r="Q925" s="11">
        <v>0</v>
      </c>
      <c r="R925" s="4"/>
      <c r="S925" s="12"/>
    </row>
    <row r="926" spans="1:19" x14ac:dyDescent="0.25">
      <c r="A926" s="9" t="s">
        <v>797</v>
      </c>
      <c r="B926" s="9" t="s">
        <v>291</v>
      </c>
      <c r="C926" s="4">
        <v>201002182</v>
      </c>
      <c r="D926" s="4"/>
      <c r="E926" s="4" t="str">
        <f>"043812010"</f>
        <v>043812010</v>
      </c>
      <c r="F926" s="10">
        <v>40240</v>
      </c>
      <c r="G926" s="11">
        <v>65489</v>
      </c>
      <c r="H926" s="11">
        <v>0</v>
      </c>
      <c r="I926" s="4"/>
      <c r="J926" s="4"/>
      <c r="K926" s="11">
        <v>65489</v>
      </c>
      <c r="L926" s="4" t="s">
        <v>805</v>
      </c>
      <c r="M926" s="4" t="s">
        <v>806</v>
      </c>
      <c r="N926" s="11">
        <v>0</v>
      </c>
      <c r="O926" s="4"/>
      <c r="P926" s="4"/>
      <c r="Q926" s="11">
        <v>0</v>
      </c>
      <c r="R926" s="4"/>
      <c r="S926" s="12"/>
    </row>
    <row r="927" spans="1:19" x14ac:dyDescent="0.25">
      <c r="A927" s="9" t="s">
        <v>797</v>
      </c>
      <c r="B927" s="9" t="s">
        <v>291</v>
      </c>
      <c r="C927" s="4">
        <v>201002239</v>
      </c>
      <c r="D927" s="4"/>
      <c r="E927" s="4" t="str">
        <f>"045502010"</f>
        <v>045502010</v>
      </c>
      <c r="F927" s="10">
        <v>40247</v>
      </c>
      <c r="G927" s="11">
        <v>8000</v>
      </c>
      <c r="H927" s="11">
        <v>0</v>
      </c>
      <c r="I927" s="4"/>
      <c r="J927" s="4"/>
      <c r="K927" s="11">
        <v>8000</v>
      </c>
      <c r="L927" s="4" t="s">
        <v>798</v>
      </c>
      <c r="M927" s="4" t="s">
        <v>799</v>
      </c>
      <c r="N927" s="11">
        <v>0</v>
      </c>
      <c r="O927" s="4"/>
      <c r="P927" s="4"/>
      <c r="Q927" s="11">
        <v>0</v>
      </c>
      <c r="R927" s="4"/>
      <c r="S927" s="12"/>
    </row>
    <row r="928" spans="1:19" x14ac:dyDescent="0.25">
      <c r="A928" s="9" t="s">
        <v>797</v>
      </c>
      <c r="B928" s="9" t="s">
        <v>291</v>
      </c>
      <c r="C928" s="4">
        <v>201002266</v>
      </c>
      <c r="D928" s="4"/>
      <c r="E928" s="4" t="str">
        <f>"049062010"</f>
        <v>049062010</v>
      </c>
      <c r="F928" s="10">
        <v>40259</v>
      </c>
      <c r="G928" s="11">
        <v>22420</v>
      </c>
      <c r="H928" s="11">
        <v>0</v>
      </c>
      <c r="I928" s="4"/>
      <c r="J928" s="4"/>
      <c r="K928" s="11">
        <v>22420</v>
      </c>
      <c r="L928" s="4" t="s">
        <v>798</v>
      </c>
      <c r="M928" s="4" t="s">
        <v>799</v>
      </c>
      <c r="N928" s="11">
        <v>0</v>
      </c>
      <c r="O928" s="4"/>
      <c r="P928" s="4"/>
      <c r="Q928" s="11">
        <v>0</v>
      </c>
      <c r="R928" s="4"/>
      <c r="S928" s="12"/>
    </row>
    <row r="929" spans="1:19" x14ac:dyDescent="0.25">
      <c r="A929" s="9" t="s">
        <v>797</v>
      </c>
      <c r="B929" s="9" t="s">
        <v>291</v>
      </c>
      <c r="C929" s="4">
        <v>201002459</v>
      </c>
      <c r="D929" s="4"/>
      <c r="E929" s="4" t="str">
        <f>"049522010"</f>
        <v>049522010</v>
      </c>
      <c r="F929" s="10">
        <v>40262</v>
      </c>
      <c r="G929" s="11">
        <v>4500</v>
      </c>
      <c r="H929" s="11">
        <v>4500</v>
      </c>
      <c r="I929" s="4" t="s">
        <v>98</v>
      </c>
      <c r="J929" s="4" t="s">
        <v>99</v>
      </c>
      <c r="K929" s="11">
        <v>0</v>
      </c>
      <c r="L929" s="4"/>
      <c r="M929" s="4"/>
      <c r="N929" s="11">
        <v>0</v>
      </c>
      <c r="O929" s="4"/>
      <c r="P929" s="4"/>
      <c r="Q929" s="11">
        <v>0</v>
      </c>
      <c r="R929" s="4"/>
      <c r="S929" s="12"/>
    </row>
    <row r="930" spans="1:19" x14ac:dyDescent="0.25">
      <c r="A930" s="9" t="s">
        <v>797</v>
      </c>
      <c r="B930" s="9" t="s">
        <v>291</v>
      </c>
      <c r="C930" s="4">
        <v>201002472</v>
      </c>
      <c r="D930" s="4"/>
      <c r="E930" s="4" t="str">
        <f>"049442010"</f>
        <v>049442010</v>
      </c>
      <c r="F930" s="10">
        <v>40260</v>
      </c>
      <c r="G930" s="11">
        <v>4588.5</v>
      </c>
      <c r="H930" s="11">
        <v>0</v>
      </c>
      <c r="I930" s="4"/>
      <c r="J930" s="4"/>
      <c r="K930" s="11">
        <v>4588.5</v>
      </c>
      <c r="L930" s="4" t="s">
        <v>798</v>
      </c>
      <c r="M930" s="4" t="s">
        <v>799</v>
      </c>
      <c r="N930" s="11">
        <v>0</v>
      </c>
      <c r="O930" s="4"/>
      <c r="P930" s="4"/>
      <c r="Q930" s="11">
        <v>0</v>
      </c>
      <c r="R930" s="4"/>
      <c r="S930" s="12"/>
    </row>
    <row r="931" spans="1:19" x14ac:dyDescent="0.25">
      <c r="A931" s="9" t="s">
        <v>797</v>
      </c>
      <c r="B931" s="9" t="s">
        <v>291</v>
      </c>
      <c r="C931" s="4">
        <v>201003133</v>
      </c>
      <c r="D931" s="4"/>
      <c r="E931" s="4" t="str">
        <f>"062602010"</f>
        <v>062602010</v>
      </c>
      <c r="F931" s="10">
        <v>40295</v>
      </c>
      <c r="G931" s="11">
        <v>550000</v>
      </c>
      <c r="H931" s="11">
        <v>550000</v>
      </c>
      <c r="I931" s="4" t="s">
        <v>142</v>
      </c>
      <c r="J931" s="4" t="s">
        <v>143</v>
      </c>
      <c r="K931" s="11">
        <v>0</v>
      </c>
      <c r="L931" s="4"/>
      <c r="M931" s="4"/>
      <c r="N931" s="11">
        <v>0</v>
      </c>
      <c r="O931" s="4"/>
      <c r="P931" s="4"/>
      <c r="Q931" s="11">
        <v>0</v>
      </c>
      <c r="R931" s="4"/>
      <c r="S931" s="12"/>
    </row>
    <row r="932" spans="1:19" x14ac:dyDescent="0.25">
      <c r="A932" s="9" t="s">
        <v>797</v>
      </c>
      <c r="B932" s="9" t="s">
        <v>291</v>
      </c>
      <c r="C932" s="4">
        <v>201003162</v>
      </c>
      <c r="D932" s="4"/>
      <c r="E932" s="4" t="str">
        <f>"063062010"</f>
        <v>063062010</v>
      </c>
      <c r="F932" s="10">
        <v>40296</v>
      </c>
      <c r="G932" s="11">
        <v>33000</v>
      </c>
      <c r="H932" s="11">
        <v>0</v>
      </c>
      <c r="I932" s="4"/>
      <c r="J932" s="4"/>
      <c r="K932" s="11">
        <v>33000</v>
      </c>
      <c r="L932" s="4" t="s">
        <v>798</v>
      </c>
      <c r="M932" s="4" t="s">
        <v>799</v>
      </c>
      <c r="N932" s="11">
        <v>0</v>
      </c>
      <c r="O932" s="4"/>
      <c r="P932" s="4"/>
      <c r="Q932" s="11">
        <v>0</v>
      </c>
      <c r="R932" s="4"/>
      <c r="S932" s="12"/>
    </row>
    <row r="933" spans="1:19" x14ac:dyDescent="0.25">
      <c r="A933" s="9" t="s">
        <v>797</v>
      </c>
      <c r="B933" s="9" t="s">
        <v>291</v>
      </c>
      <c r="C933" s="4">
        <v>201003163</v>
      </c>
      <c r="D933" s="4"/>
      <c r="E933" s="4" t="str">
        <f>"063022010"</f>
        <v>063022010</v>
      </c>
      <c r="F933" s="10">
        <v>40296</v>
      </c>
      <c r="G933" s="11">
        <v>16500</v>
      </c>
      <c r="H933" s="11">
        <v>0</v>
      </c>
      <c r="I933" s="4"/>
      <c r="J933" s="4"/>
      <c r="K933" s="11">
        <v>16500</v>
      </c>
      <c r="L933" s="4" t="s">
        <v>798</v>
      </c>
      <c r="M933" s="4" t="s">
        <v>799</v>
      </c>
      <c r="N933" s="11">
        <v>0</v>
      </c>
      <c r="O933" s="4"/>
      <c r="P933" s="4"/>
      <c r="Q933" s="11">
        <v>0</v>
      </c>
      <c r="R933" s="4"/>
      <c r="S933" s="12"/>
    </row>
    <row r="934" spans="1:19" x14ac:dyDescent="0.25">
      <c r="A934" s="9" t="s">
        <v>797</v>
      </c>
      <c r="B934" s="9" t="s">
        <v>291</v>
      </c>
      <c r="C934" s="4">
        <v>201003164</v>
      </c>
      <c r="D934" s="4"/>
      <c r="E934" s="4" t="str">
        <f>"062982010"</f>
        <v>062982010</v>
      </c>
      <c r="F934" s="10">
        <v>40296</v>
      </c>
      <c r="G934" s="11">
        <v>3520</v>
      </c>
      <c r="H934" s="11">
        <v>0</v>
      </c>
      <c r="I934" s="4"/>
      <c r="J934" s="4"/>
      <c r="K934" s="11">
        <v>3520</v>
      </c>
      <c r="L934" s="4" t="s">
        <v>798</v>
      </c>
      <c r="M934" s="4" t="s">
        <v>799</v>
      </c>
      <c r="N934" s="11">
        <v>0</v>
      </c>
      <c r="O934" s="4"/>
      <c r="P934" s="4"/>
      <c r="Q934" s="11">
        <v>0</v>
      </c>
      <c r="R934" s="4"/>
      <c r="S934" s="12"/>
    </row>
    <row r="935" spans="1:19" x14ac:dyDescent="0.25">
      <c r="A935" s="9" t="s">
        <v>797</v>
      </c>
      <c r="B935" s="9" t="s">
        <v>291</v>
      </c>
      <c r="C935" s="4">
        <v>201003281</v>
      </c>
      <c r="D935" s="4"/>
      <c r="E935" s="4" t="str">
        <f>"072772010"</f>
        <v>072772010</v>
      </c>
      <c r="F935" s="10">
        <v>40322</v>
      </c>
      <c r="G935" s="11">
        <v>400000</v>
      </c>
      <c r="H935" s="11">
        <v>0</v>
      </c>
      <c r="I935" s="4"/>
      <c r="J935" s="4"/>
      <c r="K935" s="11">
        <v>400000</v>
      </c>
      <c r="L935" s="4" t="s">
        <v>344</v>
      </c>
      <c r="M935" s="4" t="s">
        <v>345</v>
      </c>
      <c r="N935" s="11">
        <v>0</v>
      </c>
      <c r="O935" s="4"/>
      <c r="P935" s="4"/>
      <c r="Q935" s="11">
        <v>0</v>
      </c>
      <c r="R935" s="4"/>
      <c r="S935" s="12"/>
    </row>
    <row r="936" spans="1:19" x14ac:dyDescent="0.25">
      <c r="A936" s="9" t="s">
        <v>797</v>
      </c>
      <c r="B936" s="9" t="s">
        <v>291</v>
      </c>
      <c r="C936" s="4">
        <v>201003331</v>
      </c>
      <c r="D936" s="4" t="s">
        <v>807</v>
      </c>
      <c r="E936" s="4" t="str">
        <f>"068222010"</f>
        <v>068222010</v>
      </c>
      <c r="F936" s="10">
        <v>40316</v>
      </c>
      <c r="G936" s="11">
        <v>5175</v>
      </c>
      <c r="H936" s="11">
        <v>5175</v>
      </c>
      <c r="I936" s="4" t="s">
        <v>234</v>
      </c>
      <c r="J936" s="4" t="s">
        <v>235</v>
      </c>
      <c r="K936" s="11">
        <v>0</v>
      </c>
      <c r="L936" s="4"/>
      <c r="M936" s="4"/>
      <c r="N936" s="11">
        <v>0</v>
      </c>
      <c r="O936" s="4"/>
      <c r="P936" s="4"/>
      <c r="Q936" s="11">
        <v>0</v>
      </c>
      <c r="R936" s="4"/>
      <c r="S936" s="12"/>
    </row>
    <row r="937" spans="1:19" x14ac:dyDescent="0.25">
      <c r="A937" s="9" t="s">
        <v>797</v>
      </c>
      <c r="B937" s="9" t="s">
        <v>291</v>
      </c>
      <c r="C937" s="4">
        <v>201003561</v>
      </c>
      <c r="D937" s="4"/>
      <c r="E937" s="4" t="str">
        <f>"071152010"</f>
        <v>071152010</v>
      </c>
      <c r="F937" s="10">
        <v>40317</v>
      </c>
      <c r="G937" s="11">
        <v>95000</v>
      </c>
      <c r="H937" s="11">
        <v>0</v>
      </c>
      <c r="I937" s="4"/>
      <c r="J937" s="4"/>
      <c r="K937" s="11">
        <v>95000</v>
      </c>
      <c r="L937" s="4" t="s">
        <v>344</v>
      </c>
      <c r="M937" s="4" t="s">
        <v>345</v>
      </c>
      <c r="N937" s="11">
        <v>0</v>
      </c>
      <c r="O937" s="4"/>
      <c r="P937" s="4"/>
      <c r="Q937" s="11">
        <v>0</v>
      </c>
      <c r="R937" s="4"/>
      <c r="S937" s="12"/>
    </row>
    <row r="938" spans="1:19" x14ac:dyDescent="0.25">
      <c r="A938" s="9" t="s">
        <v>797</v>
      </c>
      <c r="B938" s="9" t="s">
        <v>291</v>
      </c>
      <c r="C938" s="4">
        <v>201003615</v>
      </c>
      <c r="D938" s="4"/>
      <c r="E938" s="4" t="str">
        <f>"072412010"</f>
        <v>072412010</v>
      </c>
      <c r="F938" s="10">
        <v>40323</v>
      </c>
      <c r="G938" s="11">
        <v>500000</v>
      </c>
      <c r="H938" s="11">
        <v>0</v>
      </c>
      <c r="I938" s="4"/>
      <c r="J938" s="4"/>
      <c r="K938" s="11">
        <v>500000</v>
      </c>
      <c r="L938" s="4" t="s">
        <v>808</v>
      </c>
      <c r="M938" s="4" t="s">
        <v>809</v>
      </c>
      <c r="N938" s="11">
        <v>0</v>
      </c>
      <c r="O938" s="4"/>
      <c r="P938" s="4"/>
      <c r="Q938" s="11">
        <v>0</v>
      </c>
      <c r="R938" s="4"/>
      <c r="S938" s="12"/>
    </row>
    <row r="939" spans="1:19" x14ac:dyDescent="0.25">
      <c r="A939" s="9" t="s">
        <v>797</v>
      </c>
      <c r="B939" s="9" t="s">
        <v>291</v>
      </c>
      <c r="C939" s="4">
        <v>201003691</v>
      </c>
      <c r="D939" s="4" t="s">
        <v>810</v>
      </c>
      <c r="E939" s="4" t="str">
        <f>"094052010"</f>
        <v>094052010</v>
      </c>
      <c r="F939" s="10">
        <v>40379</v>
      </c>
      <c r="G939" s="11">
        <v>30000</v>
      </c>
      <c r="H939" s="11">
        <v>30000</v>
      </c>
      <c r="I939" s="4" t="s">
        <v>23</v>
      </c>
      <c r="J939" s="4" t="s">
        <v>24</v>
      </c>
      <c r="K939" s="11">
        <v>0</v>
      </c>
      <c r="L939" s="4"/>
      <c r="M939" s="4"/>
      <c r="N939" s="11">
        <v>0</v>
      </c>
      <c r="O939" s="4"/>
      <c r="P939" s="4"/>
      <c r="Q939" s="11">
        <v>0</v>
      </c>
      <c r="R939" s="4"/>
      <c r="S939" s="12"/>
    </row>
    <row r="940" spans="1:19" x14ac:dyDescent="0.25">
      <c r="A940" s="9" t="s">
        <v>797</v>
      </c>
      <c r="B940" s="9" t="s">
        <v>291</v>
      </c>
      <c r="C940" s="4">
        <v>201003931</v>
      </c>
      <c r="D940" s="4"/>
      <c r="E940" s="4" t="str">
        <f>"082352010"</f>
        <v>082352010</v>
      </c>
      <c r="F940" s="10">
        <v>40351</v>
      </c>
      <c r="G940" s="11">
        <v>198997</v>
      </c>
      <c r="H940" s="11">
        <v>0</v>
      </c>
      <c r="I940" s="4"/>
      <c r="J940" s="4"/>
      <c r="K940" s="11">
        <v>198997</v>
      </c>
      <c r="L940" s="4" t="s">
        <v>803</v>
      </c>
      <c r="M940" s="4" t="s">
        <v>804</v>
      </c>
      <c r="N940" s="11">
        <v>0</v>
      </c>
      <c r="O940" s="4"/>
      <c r="P940" s="4"/>
      <c r="Q940" s="11">
        <v>0</v>
      </c>
      <c r="R940" s="4"/>
      <c r="S940" s="12"/>
    </row>
    <row r="941" spans="1:19" x14ac:dyDescent="0.25">
      <c r="A941" s="9" t="s">
        <v>797</v>
      </c>
      <c r="B941" s="9" t="s">
        <v>291</v>
      </c>
      <c r="C941" s="4">
        <v>201003935</v>
      </c>
      <c r="D941" s="4"/>
      <c r="E941" s="4" t="str">
        <f>"078552010"</f>
        <v>078552010</v>
      </c>
      <c r="F941" s="10">
        <v>40340</v>
      </c>
      <c r="G941" s="11">
        <v>16000</v>
      </c>
      <c r="H941" s="11">
        <v>0</v>
      </c>
      <c r="I941" s="4"/>
      <c r="J941" s="4"/>
      <c r="K941" s="11">
        <v>16000</v>
      </c>
      <c r="L941" s="4" t="s">
        <v>798</v>
      </c>
      <c r="M941" s="4" t="s">
        <v>799</v>
      </c>
      <c r="N941" s="11">
        <v>0</v>
      </c>
      <c r="O941" s="4"/>
      <c r="P941" s="4"/>
      <c r="Q941" s="11">
        <v>0</v>
      </c>
      <c r="R941" s="4"/>
      <c r="S941" s="12"/>
    </row>
    <row r="942" spans="1:19" x14ac:dyDescent="0.25">
      <c r="A942" s="9" t="s">
        <v>797</v>
      </c>
      <c r="B942" s="9" t="s">
        <v>291</v>
      </c>
      <c r="C942" s="4">
        <v>201004310</v>
      </c>
      <c r="D942" s="4"/>
      <c r="E942" s="4" t="str">
        <f>"086202010"</f>
        <v>086202010</v>
      </c>
      <c r="F942" s="10">
        <v>40354</v>
      </c>
      <c r="G942" s="11">
        <v>198700</v>
      </c>
      <c r="H942" s="11">
        <v>0</v>
      </c>
      <c r="I942" s="4"/>
      <c r="J942" s="4"/>
      <c r="K942" s="11">
        <v>198700</v>
      </c>
      <c r="L942" s="4" t="s">
        <v>344</v>
      </c>
      <c r="M942" s="4" t="s">
        <v>345</v>
      </c>
      <c r="N942" s="11">
        <v>0</v>
      </c>
      <c r="O942" s="4"/>
      <c r="P942" s="4"/>
      <c r="Q942" s="11">
        <v>0</v>
      </c>
      <c r="R942" s="4"/>
      <c r="S942" s="12"/>
    </row>
    <row r="943" spans="1:19" x14ac:dyDescent="0.25">
      <c r="A943" s="9" t="s">
        <v>797</v>
      </c>
      <c r="B943" s="9" t="s">
        <v>291</v>
      </c>
      <c r="C943" s="4">
        <v>201004312</v>
      </c>
      <c r="D943" s="4"/>
      <c r="E943" s="4" t="str">
        <f>"088562010"</f>
        <v>088562010</v>
      </c>
      <c r="F943" s="10">
        <v>40367</v>
      </c>
      <c r="G943" s="11">
        <v>8000</v>
      </c>
      <c r="H943" s="11">
        <v>0</v>
      </c>
      <c r="I943" s="4"/>
      <c r="J943" s="4"/>
      <c r="K943" s="11">
        <v>8000</v>
      </c>
      <c r="L943" s="4" t="s">
        <v>798</v>
      </c>
      <c r="M943" s="4" t="s">
        <v>799</v>
      </c>
      <c r="N943" s="11">
        <v>0</v>
      </c>
      <c r="O943" s="4"/>
      <c r="P943" s="4"/>
      <c r="Q943" s="11">
        <v>0</v>
      </c>
      <c r="R943" s="4"/>
      <c r="S943" s="12"/>
    </row>
    <row r="944" spans="1:19" x14ac:dyDescent="0.25">
      <c r="A944" s="9" t="s">
        <v>797</v>
      </c>
      <c r="B944" s="9" t="s">
        <v>291</v>
      </c>
      <c r="C944" s="4">
        <v>201004519</v>
      </c>
      <c r="D944" s="4" t="s">
        <v>2534</v>
      </c>
      <c r="E944" s="4" t="str">
        <f>"092162010"</f>
        <v>092162010</v>
      </c>
      <c r="F944" s="10">
        <v>40372</v>
      </c>
      <c r="G944" s="11">
        <v>40000</v>
      </c>
      <c r="H944" s="11">
        <v>0</v>
      </c>
      <c r="I944" s="4"/>
      <c r="J944" s="4"/>
      <c r="K944" s="11">
        <v>40000</v>
      </c>
      <c r="L944" s="4" t="s">
        <v>234</v>
      </c>
      <c r="M944" s="4" t="s">
        <v>235</v>
      </c>
      <c r="N944" s="11">
        <v>0</v>
      </c>
      <c r="O944" s="4"/>
      <c r="P944" s="4"/>
      <c r="Q944" s="11">
        <v>0</v>
      </c>
      <c r="R944" s="4"/>
      <c r="S944" s="12"/>
    </row>
    <row r="945" spans="1:19" x14ac:dyDescent="0.25">
      <c r="A945" s="9" t="s">
        <v>797</v>
      </c>
      <c r="B945" s="9" t="s">
        <v>291</v>
      </c>
      <c r="C945" s="4">
        <v>201004669</v>
      </c>
      <c r="D945" s="4"/>
      <c r="E945" s="4" t="str">
        <f>"094602010"</f>
        <v>094602010</v>
      </c>
      <c r="F945" s="10">
        <v>40450</v>
      </c>
      <c r="G945" s="11">
        <v>5000</v>
      </c>
      <c r="H945" s="11">
        <v>0</v>
      </c>
      <c r="I945" s="4"/>
      <c r="J945" s="4"/>
      <c r="K945" s="11">
        <v>5000</v>
      </c>
      <c r="L945" s="4" t="s">
        <v>798</v>
      </c>
      <c r="M945" s="4" t="s">
        <v>799</v>
      </c>
      <c r="N945" s="11">
        <v>0</v>
      </c>
      <c r="O945" s="4"/>
      <c r="P945" s="4"/>
      <c r="Q945" s="11">
        <v>0</v>
      </c>
      <c r="R945" s="4"/>
      <c r="S945" s="12"/>
    </row>
    <row r="946" spans="1:19" x14ac:dyDescent="0.25">
      <c r="A946" s="9" t="s">
        <v>797</v>
      </c>
      <c r="B946" s="9" t="s">
        <v>291</v>
      </c>
      <c r="C946" s="4">
        <v>201004671</v>
      </c>
      <c r="D946" s="4"/>
      <c r="E946" s="4" t="str">
        <f>"093242010"</f>
        <v>093242010</v>
      </c>
      <c r="F946" s="10">
        <v>40373</v>
      </c>
      <c r="G946" s="11">
        <v>2624.71</v>
      </c>
      <c r="H946" s="11">
        <v>0</v>
      </c>
      <c r="I946" s="4"/>
      <c r="J946" s="4"/>
      <c r="K946" s="11">
        <v>2624.71</v>
      </c>
      <c r="L946" s="4" t="s">
        <v>798</v>
      </c>
      <c r="M946" s="4" t="s">
        <v>799</v>
      </c>
      <c r="N946" s="11">
        <v>0</v>
      </c>
      <c r="O946" s="4"/>
      <c r="P946" s="4"/>
      <c r="Q946" s="11">
        <v>0</v>
      </c>
      <c r="R946" s="4"/>
      <c r="S946" s="12"/>
    </row>
    <row r="947" spans="1:19" x14ac:dyDescent="0.25">
      <c r="A947" s="9" t="s">
        <v>797</v>
      </c>
      <c r="B947" s="9" t="s">
        <v>291</v>
      </c>
      <c r="C947" s="4">
        <v>201004905</v>
      </c>
      <c r="D947" s="4"/>
      <c r="E947" s="4" t="str">
        <f>"097872010"</f>
        <v>097872010</v>
      </c>
      <c r="F947" s="10">
        <v>40393</v>
      </c>
      <c r="G947" s="11">
        <v>11019.57</v>
      </c>
      <c r="H947" s="11">
        <v>0</v>
      </c>
      <c r="I947" s="4"/>
      <c r="J947" s="4"/>
      <c r="K947" s="11">
        <v>11019.57</v>
      </c>
      <c r="L947" s="4" t="s">
        <v>344</v>
      </c>
      <c r="M947" s="4" t="s">
        <v>345</v>
      </c>
      <c r="N947" s="11">
        <v>0</v>
      </c>
      <c r="O947" s="4"/>
      <c r="P947" s="4"/>
      <c r="Q947" s="11">
        <v>0</v>
      </c>
      <c r="R947" s="4"/>
      <c r="S947" s="12"/>
    </row>
    <row r="948" spans="1:19" x14ac:dyDescent="0.25">
      <c r="A948" s="9" t="s">
        <v>797</v>
      </c>
      <c r="B948" s="9" t="s">
        <v>291</v>
      </c>
      <c r="C948" s="4">
        <v>201005012</v>
      </c>
      <c r="D948" s="4"/>
      <c r="E948" s="4" t="str">
        <f>"103512010"</f>
        <v>103512010</v>
      </c>
      <c r="F948" s="10">
        <v>40409</v>
      </c>
      <c r="G948" s="11">
        <v>25447.53</v>
      </c>
      <c r="H948" s="11">
        <v>0</v>
      </c>
      <c r="I948" s="4"/>
      <c r="J948" s="4"/>
      <c r="K948" s="11">
        <v>25447.53</v>
      </c>
      <c r="L948" s="4" t="s">
        <v>808</v>
      </c>
      <c r="M948" s="4" t="s">
        <v>809</v>
      </c>
      <c r="N948" s="11">
        <v>0</v>
      </c>
      <c r="O948" s="4"/>
      <c r="P948" s="4"/>
      <c r="Q948" s="11">
        <v>0</v>
      </c>
      <c r="R948" s="4"/>
      <c r="S948" s="12"/>
    </row>
    <row r="949" spans="1:19" x14ac:dyDescent="0.25">
      <c r="A949" s="9" t="s">
        <v>797</v>
      </c>
      <c r="B949" s="9" t="s">
        <v>291</v>
      </c>
      <c r="C949" s="4">
        <v>201005041</v>
      </c>
      <c r="D949" s="4"/>
      <c r="E949" s="4" t="str">
        <f>"101532010"</f>
        <v>101532010</v>
      </c>
      <c r="F949" s="10">
        <v>40407</v>
      </c>
      <c r="G949" s="11">
        <v>8000</v>
      </c>
      <c r="H949" s="11">
        <v>0</v>
      </c>
      <c r="I949" s="4"/>
      <c r="J949" s="4"/>
      <c r="K949" s="11">
        <v>8000</v>
      </c>
      <c r="L949" s="4" t="s">
        <v>798</v>
      </c>
      <c r="M949" s="4" t="s">
        <v>799</v>
      </c>
      <c r="N949" s="11">
        <v>0</v>
      </c>
      <c r="O949" s="4"/>
      <c r="P949" s="4"/>
      <c r="Q949" s="11">
        <v>0</v>
      </c>
      <c r="R949" s="4"/>
      <c r="S949" s="12"/>
    </row>
    <row r="950" spans="1:19" x14ac:dyDescent="0.25">
      <c r="A950" s="9" t="s">
        <v>797</v>
      </c>
      <c r="B950" s="9" t="s">
        <v>291</v>
      </c>
      <c r="C950" s="4">
        <v>201005086</v>
      </c>
      <c r="D950" s="4"/>
      <c r="E950" s="4" t="str">
        <f>"103492010"</f>
        <v>103492010</v>
      </c>
      <c r="F950" s="10">
        <v>40409</v>
      </c>
      <c r="G950" s="11">
        <v>69552.47</v>
      </c>
      <c r="H950" s="11">
        <v>0</v>
      </c>
      <c r="I950" s="4"/>
      <c r="J950" s="4"/>
      <c r="K950" s="11">
        <v>69552.47</v>
      </c>
      <c r="L950" s="4" t="s">
        <v>808</v>
      </c>
      <c r="M950" s="4" t="s">
        <v>809</v>
      </c>
      <c r="N950" s="11">
        <v>0</v>
      </c>
      <c r="O950" s="4"/>
      <c r="P950" s="4"/>
      <c r="Q950" s="11">
        <v>0</v>
      </c>
      <c r="R950" s="4"/>
      <c r="S950" s="12"/>
    </row>
    <row r="951" spans="1:19" x14ac:dyDescent="0.25">
      <c r="A951" s="9" t="s">
        <v>797</v>
      </c>
      <c r="B951" s="9" t="s">
        <v>291</v>
      </c>
      <c r="C951" s="4">
        <v>201005094</v>
      </c>
      <c r="D951" s="4" t="s">
        <v>811</v>
      </c>
      <c r="E951" s="4" t="str">
        <f>"106372010"</f>
        <v>106372010</v>
      </c>
      <c r="F951" s="10">
        <v>40416</v>
      </c>
      <c r="G951" s="11">
        <v>10921.06</v>
      </c>
      <c r="H951" s="11">
        <v>10921.06</v>
      </c>
      <c r="I951" s="4" t="s">
        <v>142</v>
      </c>
      <c r="J951" s="4" t="s">
        <v>143</v>
      </c>
      <c r="K951" s="11">
        <v>0</v>
      </c>
      <c r="L951" s="4"/>
      <c r="M951" s="4"/>
      <c r="N951" s="11">
        <v>0</v>
      </c>
      <c r="O951" s="4"/>
      <c r="P951" s="4"/>
      <c r="Q951" s="11">
        <v>0</v>
      </c>
      <c r="R951" s="4"/>
      <c r="S951" s="12"/>
    </row>
    <row r="952" spans="1:19" x14ac:dyDescent="0.25">
      <c r="A952" s="9" t="s">
        <v>797</v>
      </c>
      <c r="B952" s="9" t="s">
        <v>291</v>
      </c>
      <c r="C952" s="4">
        <v>201005578</v>
      </c>
      <c r="D952" s="4"/>
      <c r="E952" s="4" t="str">
        <f>"114492010"</f>
        <v>114492010</v>
      </c>
      <c r="F952" s="10">
        <v>40448</v>
      </c>
      <c r="G952" s="11">
        <v>3223.38</v>
      </c>
      <c r="H952" s="11">
        <v>3223.38</v>
      </c>
      <c r="I952" s="4" t="s">
        <v>798</v>
      </c>
      <c r="J952" s="4" t="s">
        <v>799</v>
      </c>
      <c r="K952" s="11">
        <v>0</v>
      </c>
      <c r="L952" s="4"/>
      <c r="M952" s="4"/>
      <c r="N952" s="11">
        <v>0</v>
      </c>
      <c r="O952" s="4"/>
      <c r="P952" s="4"/>
      <c r="Q952" s="11">
        <v>0</v>
      </c>
      <c r="R952" s="4"/>
      <c r="S952" s="12"/>
    </row>
    <row r="953" spans="1:19" x14ac:dyDescent="0.25">
      <c r="A953" s="9" t="s">
        <v>797</v>
      </c>
      <c r="B953" s="9" t="s">
        <v>291</v>
      </c>
      <c r="C953" s="4">
        <v>201005579</v>
      </c>
      <c r="D953" s="4"/>
      <c r="E953" s="4" t="str">
        <f>"111982010"</f>
        <v>111982010</v>
      </c>
      <c r="F953" s="10">
        <v>40442</v>
      </c>
      <c r="G953" s="11">
        <v>350</v>
      </c>
      <c r="H953" s="11">
        <v>350</v>
      </c>
      <c r="I953" s="4" t="s">
        <v>344</v>
      </c>
      <c r="J953" s="4" t="s">
        <v>345</v>
      </c>
      <c r="K953" s="11">
        <v>0</v>
      </c>
      <c r="L953" s="4"/>
      <c r="M953" s="4"/>
      <c r="N953" s="11">
        <v>0</v>
      </c>
      <c r="O953" s="4"/>
      <c r="P953" s="4"/>
      <c r="Q953" s="11">
        <v>0</v>
      </c>
      <c r="R953" s="4"/>
      <c r="S953" s="12"/>
    </row>
    <row r="954" spans="1:19" x14ac:dyDescent="0.25">
      <c r="A954" s="9" t="s">
        <v>797</v>
      </c>
      <c r="B954" s="9" t="s">
        <v>291</v>
      </c>
      <c r="C954" s="4">
        <v>201005610</v>
      </c>
      <c r="D954" s="4"/>
      <c r="E954" s="4" t="str">
        <f>"112442010"</f>
        <v>112442010</v>
      </c>
      <c r="F954" s="10">
        <v>40443</v>
      </c>
      <c r="G954" s="11">
        <v>17051</v>
      </c>
      <c r="H954" s="11">
        <v>0</v>
      </c>
      <c r="I954" s="4"/>
      <c r="J954" s="4"/>
      <c r="K954" s="11">
        <v>17051</v>
      </c>
      <c r="L954" s="4" t="s">
        <v>803</v>
      </c>
      <c r="M954" s="4" t="s">
        <v>804</v>
      </c>
      <c r="N954" s="11">
        <v>0</v>
      </c>
      <c r="O954" s="4"/>
      <c r="P954" s="4"/>
      <c r="Q954" s="11">
        <v>0</v>
      </c>
      <c r="R954" s="4"/>
      <c r="S954" s="12"/>
    </row>
    <row r="955" spans="1:19" x14ac:dyDescent="0.25">
      <c r="A955" s="9" t="s">
        <v>812</v>
      </c>
      <c r="B955" s="9" t="s">
        <v>291</v>
      </c>
      <c r="C955" s="4">
        <v>201004838</v>
      </c>
      <c r="D955" s="4" t="s">
        <v>813</v>
      </c>
      <c r="E955" s="4" t="str">
        <f>"096672010"</f>
        <v>096672010</v>
      </c>
      <c r="F955" s="10">
        <v>40387</v>
      </c>
      <c r="G955" s="11">
        <v>90000</v>
      </c>
      <c r="H955" s="11">
        <v>0</v>
      </c>
      <c r="I955" s="4"/>
      <c r="J955" s="4"/>
      <c r="K955" s="11">
        <v>90000</v>
      </c>
      <c r="L955" s="4" t="s">
        <v>803</v>
      </c>
      <c r="M955" s="4" t="s">
        <v>804</v>
      </c>
      <c r="N955" s="11">
        <v>0</v>
      </c>
      <c r="O955" s="4"/>
      <c r="P955" s="4"/>
      <c r="Q955" s="11">
        <v>0</v>
      </c>
      <c r="R955" s="4"/>
      <c r="S955" s="12"/>
    </row>
    <row r="956" spans="1:19" x14ac:dyDescent="0.25">
      <c r="A956" s="9" t="s">
        <v>814</v>
      </c>
      <c r="B956" s="9" t="s">
        <v>291</v>
      </c>
      <c r="C956" s="4">
        <v>201004354</v>
      </c>
      <c r="D956" s="4" t="s">
        <v>250</v>
      </c>
      <c r="E956" s="4" t="str">
        <f>"090902010"</f>
        <v>090902010</v>
      </c>
      <c r="F956" s="10">
        <v>40367</v>
      </c>
      <c r="G956" s="11">
        <v>229593.75</v>
      </c>
      <c r="H956" s="11">
        <v>229593.75</v>
      </c>
      <c r="I956" s="4" t="s">
        <v>251</v>
      </c>
      <c r="J956" s="4" t="s">
        <v>252</v>
      </c>
      <c r="K956" s="11">
        <v>0</v>
      </c>
      <c r="L956" s="4"/>
      <c r="M956" s="4"/>
      <c r="N956" s="11">
        <v>0</v>
      </c>
      <c r="O956" s="4"/>
      <c r="P956" s="4"/>
      <c r="Q956" s="11">
        <v>0</v>
      </c>
      <c r="R956" s="4"/>
      <c r="S956" s="12"/>
    </row>
    <row r="957" spans="1:19" x14ac:dyDescent="0.25">
      <c r="A957" s="9" t="s">
        <v>814</v>
      </c>
      <c r="B957" s="9" t="s">
        <v>291</v>
      </c>
      <c r="C957" s="4">
        <v>201004354</v>
      </c>
      <c r="D957" s="4" t="s">
        <v>250</v>
      </c>
      <c r="E957" s="4" t="str">
        <f>"090922010"</f>
        <v>090922010</v>
      </c>
      <c r="F957" s="10">
        <v>40444</v>
      </c>
      <c r="G957" s="11">
        <v>20406.25</v>
      </c>
      <c r="H957" s="11">
        <v>20406.25</v>
      </c>
      <c r="I957" s="4" t="s">
        <v>251</v>
      </c>
      <c r="J957" s="4" t="s">
        <v>252</v>
      </c>
      <c r="K957" s="11">
        <v>0</v>
      </c>
      <c r="L957" s="4"/>
      <c r="M957" s="4"/>
      <c r="N957" s="11">
        <v>0</v>
      </c>
      <c r="O957" s="4"/>
      <c r="P957" s="4"/>
      <c r="Q957" s="11">
        <v>0</v>
      </c>
      <c r="R957" s="4"/>
      <c r="S957" s="12"/>
    </row>
    <row r="958" spans="1:19" x14ac:dyDescent="0.25">
      <c r="A958" s="9" t="s">
        <v>814</v>
      </c>
      <c r="B958" s="9" t="s">
        <v>291</v>
      </c>
      <c r="C958" s="4">
        <v>201004354</v>
      </c>
      <c r="D958" s="4" t="s">
        <v>250</v>
      </c>
      <c r="E958" s="4" t="str">
        <f>"090942010"</f>
        <v>090942010</v>
      </c>
      <c r="F958" s="10">
        <v>40444</v>
      </c>
      <c r="G958" s="11">
        <v>4781.25</v>
      </c>
      <c r="H958" s="11">
        <v>4781.25</v>
      </c>
      <c r="I958" s="4" t="s">
        <v>251</v>
      </c>
      <c r="J958" s="4" t="s">
        <v>252</v>
      </c>
      <c r="K958" s="11">
        <v>0</v>
      </c>
      <c r="L958" s="4"/>
      <c r="M958" s="4"/>
      <c r="N958" s="11">
        <v>0</v>
      </c>
      <c r="O958" s="4"/>
      <c r="P958" s="4"/>
      <c r="Q958" s="11">
        <v>0</v>
      </c>
      <c r="R958" s="4"/>
      <c r="S958" s="12"/>
    </row>
    <row r="959" spans="1:19" x14ac:dyDescent="0.25">
      <c r="A959" s="9" t="s">
        <v>815</v>
      </c>
      <c r="B959" s="9" t="s">
        <v>291</v>
      </c>
      <c r="C959" s="4">
        <v>201005324</v>
      </c>
      <c r="D959" s="4" t="s">
        <v>816</v>
      </c>
      <c r="E959" s="4" t="str">
        <f>"111292010"</f>
        <v>111292010</v>
      </c>
      <c r="F959" s="10">
        <v>40436</v>
      </c>
      <c r="G959" s="11">
        <v>545000</v>
      </c>
      <c r="H959" s="11">
        <v>545000</v>
      </c>
      <c r="I959" s="4" t="s">
        <v>30</v>
      </c>
      <c r="J959" s="4" t="s">
        <v>31</v>
      </c>
      <c r="K959" s="11">
        <v>0</v>
      </c>
      <c r="L959" s="4"/>
      <c r="M959" s="4"/>
      <c r="N959" s="11">
        <v>0</v>
      </c>
      <c r="O959" s="4"/>
      <c r="P959" s="4"/>
      <c r="Q959" s="11">
        <v>0</v>
      </c>
      <c r="R959" s="4"/>
      <c r="S959" s="12"/>
    </row>
    <row r="960" spans="1:19" x14ac:dyDescent="0.25">
      <c r="A960" s="9" t="s">
        <v>817</v>
      </c>
      <c r="B960" s="9" t="s">
        <v>291</v>
      </c>
      <c r="C960" s="4">
        <v>200905894</v>
      </c>
      <c r="D960" s="4" t="s">
        <v>818</v>
      </c>
      <c r="E960" s="4" t="str">
        <f>"088102009"</f>
        <v>088102009</v>
      </c>
      <c r="F960" s="10">
        <v>40102</v>
      </c>
      <c r="G960" s="11">
        <v>6000</v>
      </c>
      <c r="H960" s="11">
        <v>6000</v>
      </c>
      <c r="I960" s="4" t="s">
        <v>23</v>
      </c>
      <c r="J960" s="4" t="s">
        <v>24</v>
      </c>
      <c r="K960" s="11">
        <v>0</v>
      </c>
      <c r="L960" s="4"/>
      <c r="M960" s="4"/>
      <c r="N960" s="11">
        <v>0</v>
      </c>
      <c r="O960" s="4"/>
      <c r="P960" s="4"/>
      <c r="Q960" s="11">
        <v>0</v>
      </c>
      <c r="R960" s="4"/>
      <c r="S960" s="12"/>
    </row>
    <row r="961" spans="1:19" x14ac:dyDescent="0.25">
      <c r="A961" s="9" t="s">
        <v>817</v>
      </c>
      <c r="B961" s="9" t="s">
        <v>291</v>
      </c>
      <c r="C961" s="4">
        <v>201000365</v>
      </c>
      <c r="D961" s="4"/>
      <c r="E961" s="4" t="str">
        <f>"006932010"</f>
        <v>006932010</v>
      </c>
      <c r="F961" s="10">
        <v>40115</v>
      </c>
      <c r="G961" s="11">
        <v>85466.19</v>
      </c>
      <c r="H961" s="11">
        <v>85466.19</v>
      </c>
      <c r="I961" s="4" t="s">
        <v>91</v>
      </c>
      <c r="J961" s="4" t="s">
        <v>92</v>
      </c>
      <c r="K961" s="11">
        <v>0</v>
      </c>
      <c r="L961" s="4"/>
      <c r="M961" s="4"/>
      <c r="N961" s="11">
        <v>0</v>
      </c>
      <c r="O961" s="4"/>
      <c r="P961" s="4"/>
      <c r="Q961" s="11">
        <v>0</v>
      </c>
      <c r="R961" s="4"/>
      <c r="S961" s="12"/>
    </row>
    <row r="962" spans="1:19" x14ac:dyDescent="0.25">
      <c r="A962" s="9" t="s">
        <v>817</v>
      </c>
      <c r="B962" s="9" t="s">
        <v>291</v>
      </c>
      <c r="C962" s="4">
        <v>201002360</v>
      </c>
      <c r="D962" s="4" t="s">
        <v>819</v>
      </c>
      <c r="E962" s="4" t="str">
        <f>"047422010"</f>
        <v>047422010</v>
      </c>
      <c r="F962" s="10">
        <v>40252</v>
      </c>
      <c r="G962" s="11">
        <v>795000</v>
      </c>
      <c r="H962" s="11">
        <v>795000</v>
      </c>
      <c r="I962" s="4" t="s">
        <v>91</v>
      </c>
      <c r="J962" s="4" t="s">
        <v>92</v>
      </c>
      <c r="K962" s="11">
        <v>0</v>
      </c>
      <c r="L962" s="4"/>
      <c r="M962" s="4"/>
      <c r="N962" s="11">
        <v>0</v>
      </c>
      <c r="O962" s="4"/>
      <c r="P962" s="4"/>
      <c r="Q962" s="11">
        <v>0</v>
      </c>
      <c r="R962" s="4"/>
      <c r="S962" s="12"/>
    </row>
    <row r="963" spans="1:19" x14ac:dyDescent="0.25">
      <c r="A963" s="9" t="s">
        <v>817</v>
      </c>
      <c r="B963" s="9" t="s">
        <v>291</v>
      </c>
      <c r="C963" s="4">
        <v>201002361</v>
      </c>
      <c r="D963" s="4"/>
      <c r="E963" s="4" t="str">
        <f>"047402010"</f>
        <v>047402010</v>
      </c>
      <c r="F963" s="10">
        <v>40252</v>
      </c>
      <c r="G963" s="11">
        <v>15000</v>
      </c>
      <c r="H963" s="11">
        <v>15000</v>
      </c>
      <c r="I963" s="4" t="s">
        <v>91</v>
      </c>
      <c r="J963" s="4" t="s">
        <v>92</v>
      </c>
      <c r="K963" s="11">
        <v>0</v>
      </c>
      <c r="L963" s="4"/>
      <c r="M963" s="4"/>
      <c r="N963" s="11">
        <v>0</v>
      </c>
      <c r="O963" s="4"/>
      <c r="P963" s="4"/>
      <c r="Q963" s="11">
        <v>0</v>
      </c>
      <c r="R963" s="4"/>
      <c r="S963" s="12"/>
    </row>
    <row r="964" spans="1:19" x14ac:dyDescent="0.25">
      <c r="A964" s="9" t="s">
        <v>817</v>
      </c>
      <c r="B964" s="9" t="s">
        <v>291</v>
      </c>
      <c r="C964" s="4">
        <v>201002362</v>
      </c>
      <c r="D964" s="4" t="s">
        <v>820</v>
      </c>
      <c r="E964" s="4" t="str">
        <f>"047662010"</f>
        <v>047662010</v>
      </c>
      <c r="F964" s="10">
        <v>40253</v>
      </c>
      <c r="G964" s="11">
        <v>507500</v>
      </c>
      <c r="H964" s="11">
        <v>507500</v>
      </c>
      <c r="I964" s="4" t="s">
        <v>91</v>
      </c>
      <c r="J964" s="4" t="s">
        <v>92</v>
      </c>
      <c r="K964" s="11">
        <v>0</v>
      </c>
      <c r="L964" s="4"/>
      <c r="M964" s="4"/>
      <c r="N964" s="11">
        <v>0</v>
      </c>
      <c r="O964" s="4"/>
      <c r="P964" s="4"/>
      <c r="Q964" s="11">
        <v>0</v>
      </c>
      <c r="R964" s="4"/>
      <c r="S964" s="12"/>
    </row>
    <row r="965" spans="1:19" x14ac:dyDescent="0.25">
      <c r="A965" s="9" t="s">
        <v>817</v>
      </c>
      <c r="B965" s="9" t="s">
        <v>291</v>
      </c>
      <c r="C965" s="4">
        <v>201002404</v>
      </c>
      <c r="D965" s="4" t="s">
        <v>821</v>
      </c>
      <c r="E965" s="4" t="str">
        <f>"047762010"</f>
        <v>047762010</v>
      </c>
      <c r="F965" s="10">
        <v>40254</v>
      </c>
      <c r="G965" s="11">
        <v>5000</v>
      </c>
      <c r="H965" s="11">
        <v>5000</v>
      </c>
      <c r="I965" s="4" t="s">
        <v>91</v>
      </c>
      <c r="J965" s="4" t="s">
        <v>92</v>
      </c>
      <c r="K965" s="11">
        <v>0</v>
      </c>
      <c r="L965" s="4"/>
      <c r="M965" s="4"/>
      <c r="N965" s="11">
        <v>0</v>
      </c>
      <c r="O965" s="4"/>
      <c r="P965" s="4"/>
      <c r="Q965" s="11">
        <v>0</v>
      </c>
      <c r="R965" s="4"/>
      <c r="S965" s="12"/>
    </row>
    <row r="966" spans="1:19" x14ac:dyDescent="0.25">
      <c r="A966" s="9" t="s">
        <v>817</v>
      </c>
      <c r="B966" s="9" t="s">
        <v>817</v>
      </c>
      <c r="C966" s="4">
        <v>201002461</v>
      </c>
      <c r="D966" s="4" t="s">
        <v>822</v>
      </c>
      <c r="E966" s="4" t="str">
        <f>"049622010"</f>
        <v>049622010</v>
      </c>
      <c r="F966" s="10">
        <v>40262</v>
      </c>
      <c r="G966" s="11">
        <v>29893.4</v>
      </c>
      <c r="H966" s="11">
        <v>26991.37</v>
      </c>
      <c r="I966" s="4" t="s">
        <v>98</v>
      </c>
      <c r="J966" s="4" t="s">
        <v>99</v>
      </c>
      <c r="K966" s="11">
        <v>0</v>
      </c>
      <c r="L966" s="4"/>
      <c r="M966" s="4"/>
      <c r="N966" s="11">
        <v>0</v>
      </c>
      <c r="O966" s="4"/>
      <c r="P966" s="4"/>
      <c r="Q966" s="11">
        <v>2902.03</v>
      </c>
      <c r="R966" s="4" t="s">
        <v>98</v>
      </c>
      <c r="S966" s="12" t="s">
        <v>99</v>
      </c>
    </row>
    <row r="967" spans="1:19" x14ac:dyDescent="0.25">
      <c r="A967" s="9" t="s">
        <v>817</v>
      </c>
      <c r="B967" s="9" t="s">
        <v>291</v>
      </c>
      <c r="C967" s="4">
        <v>201002490</v>
      </c>
      <c r="D967" s="4" t="s">
        <v>823</v>
      </c>
      <c r="E967" s="4" t="str">
        <f>"049202010"</f>
        <v>049202010</v>
      </c>
      <c r="F967" s="10">
        <v>40259</v>
      </c>
      <c r="G967" s="11">
        <v>15000</v>
      </c>
      <c r="H967" s="11">
        <v>15000</v>
      </c>
      <c r="I967" s="4" t="s">
        <v>91</v>
      </c>
      <c r="J967" s="4" t="s">
        <v>92</v>
      </c>
      <c r="K967" s="11">
        <v>0</v>
      </c>
      <c r="L967" s="4"/>
      <c r="M967" s="4"/>
      <c r="N967" s="11">
        <v>0</v>
      </c>
      <c r="O967" s="4"/>
      <c r="P967" s="4"/>
      <c r="Q967" s="11">
        <v>0</v>
      </c>
      <c r="R967" s="4"/>
      <c r="S967" s="12"/>
    </row>
    <row r="968" spans="1:19" x14ac:dyDescent="0.25">
      <c r="A968" s="9" t="s">
        <v>817</v>
      </c>
      <c r="B968" s="9" t="s">
        <v>291</v>
      </c>
      <c r="C968" s="4">
        <v>201002537</v>
      </c>
      <c r="D968" s="4" t="s">
        <v>824</v>
      </c>
      <c r="E968" s="4" t="str">
        <f>"050182010"</f>
        <v>050182010</v>
      </c>
      <c r="F968" s="10">
        <v>40262</v>
      </c>
      <c r="G968" s="11">
        <v>24000</v>
      </c>
      <c r="H968" s="11">
        <v>24000</v>
      </c>
      <c r="I968" s="4" t="s">
        <v>91</v>
      </c>
      <c r="J968" s="4" t="s">
        <v>92</v>
      </c>
      <c r="K968" s="11">
        <v>0</v>
      </c>
      <c r="L968" s="4"/>
      <c r="M968" s="4"/>
      <c r="N968" s="11">
        <v>0</v>
      </c>
      <c r="O968" s="4"/>
      <c r="P968" s="4"/>
      <c r="Q968" s="11">
        <v>0</v>
      </c>
      <c r="R968" s="4"/>
      <c r="S968" s="12"/>
    </row>
    <row r="969" spans="1:19" x14ac:dyDescent="0.25">
      <c r="A969" s="9" t="s">
        <v>817</v>
      </c>
      <c r="B969" s="9" t="s">
        <v>291</v>
      </c>
      <c r="C969" s="4">
        <v>201002592</v>
      </c>
      <c r="D969" s="4"/>
      <c r="E969" s="4" t="str">
        <f>"051602010"</f>
        <v>051602010</v>
      </c>
      <c r="F969" s="10">
        <v>40263</v>
      </c>
      <c r="G969" s="11">
        <v>173000</v>
      </c>
      <c r="H969" s="11">
        <v>173000</v>
      </c>
      <c r="I969" s="4" t="s">
        <v>91</v>
      </c>
      <c r="J969" s="4" t="s">
        <v>92</v>
      </c>
      <c r="K969" s="11">
        <v>0</v>
      </c>
      <c r="L969" s="4"/>
      <c r="M969" s="4"/>
      <c r="N969" s="11">
        <v>0</v>
      </c>
      <c r="O969" s="4"/>
      <c r="P969" s="4"/>
      <c r="Q969" s="11">
        <v>0</v>
      </c>
      <c r="R969" s="4"/>
      <c r="S969" s="12"/>
    </row>
    <row r="970" spans="1:19" x14ac:dyDescent="0.25">
      <c r="A970" s="9" t="s">
        <v>817</v>
      </c>
      <c r="B970" s="9" t="s">
        <v>291</v>
      </c>
      <c r="C970" s="4">
        <v>201002863</v>
      </c>
      <c r="D970" s="4" t="s">
        <v>825</v>
      </c>
      <c r="E970" s="4" t="str">
        <f>"056972010"</f>
        <v>056972010</v>
      </c>
      <c r="F970" s="10">
        <v>40277</v>
      </c>
      <c r="G970" s="11">
        <v>1000000</v>
      </c>
      <c r="H970" s="11">
        <v>1000000</v>
      </c>
      <c r="I970" s="4" t="s">
        <v>23</v>
      </c>
      <c r="J970" s="4" t="s">
        <v>24</v>
      </c>
      <c r="K970" s="11">
        <v>0</v>
      </c>
      <c r="L970" s="4"/>
      <c r="M970" s="4"/>
      <c r="N970" s="11">
        <v>0</v>
      </c>
      <c r="O970" s="4"/>
      <c r="P970" s="4"/>
      <c r="Q970" s="11">
        <v>0</v>
      </c>
      <c r="R970" s="4"/>
      <c r="S970" s="12"/>
    </row>
    <row r="971" spans="1:19" x14ac:dyDescent="0.25">
      <c r="A971" s="9" t="s">
        <v>817</v>
      </c>
      <c r="B971" s="9" t="s">
        <v>291</v>
      </c>
      <c r="C971" s="4">
        <v>201003153</v>
      </c>
      <c r="D971" s="4" t="s">
        <v>826</v>
      </c>
      <c r="E971" s="4" t="str">
        <f>"062802010"</f>
        <v>062802010</v>
      </c>
      <c r="F971" s="10">
        <v>40296</v>
      </c>
      <c r="G971" s="11">
        <v>40000</v>
      </c>
      <c r="H971" s="11">
        <v>40000</v>
      </c>
      <c r="I971" s="4" t="s">
        <v>30</v>
      </c>
      <c r="J971" s="4" t="s">
        <v>31</v>
      </c>
      <c r="K971" s="11">
        <v>0</v>
      </c>
      <c r="L971" s="4"/>
      <c r="M971" s="4"/>
      <c r="N971" s="11">
        <v>0</v>
      </c>
      <c r="O971" s="4"/>
      <c r="P971" s="4"/>
      <c r="Q971" s="11">
        <v>0</v>
      </c>
      <c r="R971" s="4"/>
      <c r="S971" s="12"/>
    </row>
    <row r="972" spans="1:19" x14ac:dyDescent="0.25">
      <c r="A972" s="9" t="s">
        <v>817</v>
      </c>
      <c r="B972" s="9" t="s">
        <v>291</v>
      </c>
      <c r="C972" s="4">
        <v>201003285</v>
      </c>
      <c r="D972" s="4" t="s">
        <v>827</v>
      </c>
      <c r="E972" s="4" t="str">
        <f>"065502010"</f>
        <v>065502010</v>
      </c>
      <c r="F972" s="10">
        <v>40304</v>
      </c>
      <c r="G972" s="11">
        <v>20000</v>
      </c>
      <c r="H972" s="11">
        <v>20000</v>
      </c>
      <c r="I972" s="4" t="s">
        <v>91</v>
      </c>
      <c r="J972" s="4" t="s">
        <v>92</v>
      </c>
      <c r="K972" s="11">
        <v>0</v>
      </c>
      <c r="L972" s="4"/>
      <c r="M972" s="4"/>
      <c r="N972" s="11">
        <v>0</v>
      </c>
      <c r="O972" s="4"/>
      <c r="P972" s="4"/>
      <c r="Q972" s="11">
        <v>0</v>
      </c>
      <c r="R972" s="4"/>
      <c r="S972" s="12"/>
    </row>
    <row r="973" spans="1:19" x14ac:dyDescent="0.25">
      <c r="A973" s="9" t="s">
        <v>817</v>
      </c>
      <c r="B973" s="9" t="s">
        <v>291</v>
      </c>
      <c r="C973" s="4">
        <v>201003295</v>
      </c>
      <c r="D973" s="4" t="s">
        <v>828</v>
      </c>
      <c r="E973" s="4" t="str">
        <f>"071332010"</f>
        <v>071332010</v>
      </c>
      <c r="F973" s="10">
        <v>40318</v>
      </c>
      <c r="G973" s="11">
        <v>3000</v>
      </c>
      <c r="H973" s="11">
        <v>3000</v>
      </c>
      <c r="I973" s="4" t="s">
        <v>23</v>
      </c>
      <c r="J973" s="4" t="s">
        <v>24</v>
      </c>
      <c r="K973" s="11">
        <v>0</v>
      </c>
      <c r="L973" s="4"/>
      <c r="M973" s="4"/>
      <c r="N973" s="11">
        <v>0</v>
      </c>
      <c r="O973" s="4"/>
      <c r="P973" s="4"/>
      <c r="Q973" s="11">
        <v>0</v>
      </c>
      <c r="R973" s="4"/>
      <c r="S973" s="12"/>
    </row>
    <row r="974" spans="1:19" x14ac:dyDescent="0.25">
      <c r="A974" s="9" t="s">
        <v>817</v>
      </c>
      <c r="B974" s="9" t="s">
        <v>291</v>
      </c>
      <c r="C974" s="4">
        <v>201003317</v>
      </c>
      <c r="D974" s="4" t="s">
        <v>829</v>
      </c>
      <c r="E974" s="4" t="str">
        <f>"065822010"</f>
        <v>065822010</v>
      </c>
      <c r="F974" s="10">
        <v>40305</v>
      </c>
      <c r="G974" s="11">
        <v>75000</v>
      </c>
      <c r="H974" s="11">
        <v>75000</v>
      </c>
      <c r="I974" s="4" t="s">
        <v>91</v>
      </c>
      <c r="J974" s="4" t="s">
        <v>92</v>
      </c>
      <c r="K974" s="11">
        <v>0</v>
      </c>
      <c r="L974" s="4"/>
      <c r="M974" s="4"/>
      <c r="N974" s="11">
        <v>0</v>
      </c>
      <c r="O974" s="4"/>
      <c r="P974" s="4"/>
      <c r="Q974" s="11">
        <v>0</v>
      </c>
      <c r="R974" s="4"/>
      <c r="S974" s="12"/>
    </row>
    <row r="975" spans="1:19" x14ac:dyDescent="0.25">
      <c r="A975" s="9" t="s">
        <v>817</v>
      </c>
      <c r="B975" s="9" t="s">
        <v>291</v>
      </c>
      <c r="C975" s="4">
        <v>201003817</v>
      </c>
      <c r="D975" s="4" t="s">
        <v>830</v>
      </c>
      <c r="E975" s="4" t="str">
        <f>"087842010"</f>
        <v>087842010</v>
      </c>
      <c r="F975" s="10">
        <v>40360</v>
      </c>
      <c r="G975" s="11">
        <v>3180000</v>
      </c>
      <c r="H975" s="11">
        <v>3180000</v>
      </c>
      <c r="I975" s="4" t="s">
        <v>91</v>
      </c>
      <c r="J975" s="4" t="s">
        <v>92</v>
      </c>
      <c r="K975" s="11">
        <v>0</v>
      </c>
      <c r="L975" s="4"/>
      <c r="M975" s="4"/>
      <c r="N975" s="11">
        <v>0</v>
      </c>
      <c r="O975" s="4"/>
      <c r="P975" s="4"/>
      <c r="Q975" s="11">
        <v>0</v>
      </c>
      <c r="R975" s="4"/>
      <c r="S975" s="12"/>
    </row>
    <row r="976" spans="1:19" x14ac:dyDescent="0.25">
      <c r="A976" s="9" t="s">
        <v>817</v>
      </c>
      <c r="B976" s="9" t="s">
        <v>291</v>
      </c>
      <c r="C976" s="4">
        <v>201003822</v>
      </c>
      <c r="D976" s="4" t="s">
        <v>831</v>
      </c>
      <c r="E976" s="4" t="str">
        <f>"079682010"</f>
        <v>079682010</v>
      </c>
      <c r="F976" s="10">
        <v>40344</v>
      </c>
      <c r="G976" s="11">
        <v>450000</v>
      </c>
      <c r="H976" s="11">
        <v>450000</v>
      </c>
      <c r="I976" s="4" t="s">
        <v>91</v>
      </c>
      <c r="J976" s="4" t="s">
        <v>92</v>
      </c>
      <c r="K976" s="11">
        <v>0</v>
      </c>
      <c r="L976" s="4"/>
      <c r="M976" s="4"/>
      <c r="N976" s="11">
        <v>0</v>
      </c>
      <c r="O976" s="4"/>
      <c r="P976" s="4"/>
      <c r="Q976" s="11">
        <v>0</v>
      </c>
      <c r="R976" s="4"/>
      <c r="S976" s="12"/>
    </row>
    <row r="977" spans="1:19" x14ac:dyDescent="0.25">
      <c r="A977" s="9" t="s">
        <v>817</v>
      </c>
      <c r="B977" s="9" t="s">
        <v>291</v>
      </c>
      <c r="C977" s="4">
        <v>201003825</v>
      </c>
      <c r="D977" s="4" t="s">
        <v>832</v>
      </c>
      <c r="E977" s="4" t="str">
        <f>"078392010"</f>
        <v>078392010</v>
      </c>
      <c r="F977" s="10">
        <v>40340</v>
      </c>
      <c r="G977" s="11">
        <v>525000</v>
      </c>
      <c r="H977" s="11">
        <v>525000</v>
      </c>
      <c r="I977" s="4" t="s">
        <v>91</v>
      </c>
      <c r="J977" s="4" t="s">
        <v>92</v>
      </c>
      <c r="K977" s="11">
        <v>0</v>
      </c>
      <c r="L977" s="4"/>
      <c r="M977" s="4"/>
      <c r="N977" s="11">
        <v>0</v>
      </c>
      <c r="O977" s="4"/>
      <c r="P977" s="4"/>
      <c r="Q977" s="11">
        <v>0</v>
      </c>
      <c r="R977" s="4"/>
      <c r="S977" s="12"/>
    </row>
    <row r="978" spans="1:19" x14ac:dyDescent="0.25">
      <c r="A978" s="9" t="s">
        <v>817</v>
      </c>
      <c r="B978" s="9" t="s">
        <v>291</v>
      </c>
      <c r="C978" s="4">
        <v>201004138</v>
      </c>
      <c r="D978" s="4" t="s">
        <v>833</v>
      </c>
      <c r="E978" s="4" t="str">
        <f>"081902010"</f>
        <v>081902010</v>
      </c>
      <c r="F978" s="10">
        <v>40347</v>
      </c>
      <c r="G978" s="11">
        <v>8500</v>
      </c>
      <c r="H978" s="11">
        <v>8500</v>
      </c>
      <c r="I978" s="4" t="s">
        <v>30</v>
      </c>
      <c r="J978" s="4" t="s">
        <v>31</v>
      </c>
      <c r="K978" s="11">
        <v>0</v>
      </c>
      <c r="L978" s="4"/>
      <c r="M978" s="4"/>
      <c r="N978" s="11">
        <v>0</v>
      </c>
      <c r="O978" s="4"/>
      <c r="P978" s="4"/>
      <c r="Q978" s="11">
        <v>0</v>
      </c>
      <c r="R978" s="4"/>
      <c r="S978" s="12"/>
    </row>
    <row r="979" spans="1:19" x14ac:dyDescent="0.25">
      <c r="A979" s="9" t="s">
        <v>817</v>
      </c>
      <c r="B979" s="9" t="s">
        <v>291</v>
      </c>
      <c r="C979" s="4">
        <v>201004302</v>
      </c>
      <c r="D979" s="4" t="s">
        <v>834</v>
      </c>
      <c r="E979" s="4" t="str">
        <f>"085262010"</f>
        <v>085262010</v>
      </c>
      <c r="F979" s="10">
        <v>40357</v>
      </c>
      <c r="G979" s="11">
        <v>175000</v>
      </c>
      <c r="H979" s="11">
        <v>175000</v>
      </c>
      <c r="I979" s="4" t="s">
        <v>30</v>
      </c>
      <c r="J979" s="4" t="s">
        <v>31</v>
      </c>
      <c r="K979" s="11">
        <v>0</v>
      </c>
      <c r="L979" s="4"/>
      <c r="M979" s="4"/>
      <c r="N979" s="11">
        <v>0</v>
      </c>
      <c r="O979" s="4"/>
      <c r="P979" s="4"/>
      <c r="Q979" s="11">
        <v>0</v>
      </c>
      <c r="R979" s="4"/>
      <c r="S979" s="12"/>
    </row>
    <row r="980" spans="1:19" x14ac:dyDescent="0.25">
      <c r="A980" s="9" t="s">
        <v>817</v>
      </c>
      <c r="B980" s="9" t="s">
        <v>291</v>
      </c>
      <c r="C980" s="4">
        <v>201004314</v>
      </c>
      <c r="D980" s="4" t="s">
        <v>835</v>
      </c>
      <c r="E980" s="4" t="str">
        <f>"088662010"</f>
        <v>088662010</v>
      </c>
      <c r="F980" s="10">
        <v>40367</v>
      </c>
      <c r="G980" s="11">
        <v>720000</v>
      </c>
      <c r="H980" s="11">
        <v>720000</v>
      </c>
      <c r="I980" s="4" t="s">
        <v>91</v>
      </c>
      <c r="J980" s="4" t="s">
        <v>92</v>
      </c>
      <c r="K980" s="11">
        <v>0</v>
      </c>
      <c r="L980" s="4"/>
      <c r="M980" s="4"/>
      <c r="N980" s="11">
        <v>0</v>
      </c>
      <c r="O980" s="4"/>
      <c r="P980" s="4"/>
      <c r="Q980" s="11">
        <v>0</v>
      </c>
      <c r="R980" s="4"/>
      <c r="S980" s="12"/>
    </row>
    <row r="981" spans="1:19" x14ac:dyDescent="0.25">
      <c r="A981" s="9" t="s">
        <v>817</v>
      </c>
      <c r="B981" s="9" t="s">
        <v>291</v>
      </c>
      <c r="C981" s="4">
        <v>201004342</v>
      </c>
      <c r="D981" s="4" t="s">
        <v>836</v>
      </c>
      <c r="E981" s="4" t="str">
        <f>"087562010"</f>
        <v>087562010</v>
      </c>
      <c r="F981" s="10">
        <v>40360</v>
      </c>
      <c r="G981" s="11">
        <v>1300000</v>
      </c>
      <c r="H981" s="11">
        <v>1300000</v>
      </c>
      <c r="I981" s="4" t="s">
        <v>91</v>
      </c>
      <c r="J981" s="4" t="s">
        <v>92</v>
      </c>
      <c r="K981" s="11">
        <v>0</v>
      </c>
      <c r="L981" s="4"/>
      <c r="M981" s="4"/>
      <c r="N981" s="11">
        <v>0</v>
      </c>
      <c r="O981" s="4"/>
      <c r="P981" s="4"/>
      <c r="Q981" s="11">
        <v>0</v>
      </c>
      <c r="R981" s="4"/>
      <c r="S981" s="12"/>
    </row>
    <row r="982" spans="1:19" x14ac:dyDescent="0.25">
      <c r="A982" s="9" t="s">
        <v>817</v>
      </c>
      <c r="B982" s="9" t="s">
        <v>291</v>
      </c>
      <c r="C982" s="4">
        <v>201004356</v>
      </c>
      <c r="D982" s="4" t="s">
        <v>837</v>
      </c>
      <c r="E982" s="4" t="str">
        <f>"088242010"</f>
        <v>088242010</v>
      </c>
      <c r="F982" s="10">
        <v>40367</v>
      </c>
      <c r="G982" s="11">
        <v>525000</v>
      </c>
      <c r="H982" s="11">
        <v>525000</v>
      </c>
      <c r="I982" s="4" t="s">
        <v>91</v>
      </c>
      <c r="J982" s="4" t="s">
        <v>92</v>
      </c>
      <c r="K982" s="11">
        <v>0</v>
      </c>
      <c r="L982" s="4"/>
      <c r="M982" s="4"/>
      <c r="N982" s="11">
        <v>0</v>
      </c>
      <c r="O982" s="4"/>
      <c r="P982" s="4"/>
      <c r="Q982" s="11">
        <v>0</v>
      </c>
      <c r="R982" s="4"/>
      <c r="S982" s="12"/>
    </row>
    <row r="983" spans="1:19" x14ac:dyDescent="0.25">
      <c r="A983" s="9" t="s">
        <v>817</v>
      </c>
      <c r="B983" s="9" t="s">
        <v>291</v>
      </c>
      <c r="C983" s="4">
        <v>201004357</v>
      </c>
      <c r="D983" s="4" t="s">
        <v>838</v>
      </c>
      <c r="E983" s="4" t="str">
        <f>"087502010"</f>
        <v>087502010</v>
      </c>
      <c r="F983" s="10">
        <v>40358</v>
      </c>
      <c r="G983" s="11">
        <v>2200000</v>
      </c>
      <c r="H983" s="11">
        <v>2200000</v>
      </c>
      <c r="I983" s="4" t="s">
        <v>91</v>
      </c>
      <c r="J983" s="4" t="s">
        <v>92</v>
      </c>
      <c r="K983" s="11">
        <v>0</v>
      </c>
      <c r="L983" s="4"/>
      <c r="M983" s="4"/>
      <c r="N983" s="11">
        <v>0</v>
      </c>
      <c r="O983" s="4"/>
      <c r="P983" s="4"/>
      <c r="Q983" s="11">
        <v>0</v>
      </c>
      <c r="R983" s="4"/>
      <c r="S983" s="12"/>
    </row>
    <row r="984" spans="1:19" x14ac:dyDescent="0.25">
      <c r="A984" s="9" t="s">
        <v>817</v>
      </c>
      <c r="B984" s="9" t="s">
        <v>291</v>
      </c>
      <c r="C984" s="4">
        <v>201004712</v>
      </c>
      <c r="D984" s="4"/>
      <c r="E984" s="4" t="str">
        <f>"094462010"</f>
        <v>094462010</v>
      </c>
      <c r="F984" s="10">
        <v>40380</v>
      </c>
      <c r="G984" s="11">
        <v>315000</v>
      </c>
      <c r="H984" s="11">
        <v>315000</v>
      </c>
      <c r="I984" s="4" t="s">
        <v>88</v>
      </c>
      <c r="J984" s="4" t="s">
        <v>89</v>
      </c>
      <c r="K984" s="11">
        <v>0</v>
      </c>
      <c r="L984" s="4"/>
      <c r="M984" s="4"/>
      <c r="N984" s="11">
        <v>0</v>
      </c>
      <c r="O984" s="4"/>
      <c r="P984" s="4"/>
      <c r="Q984" s="11">
        <v>0</v>
      </c>
      <c r="R984" s="4"/>
      <c r="S984" s="12"/>
    </row>
    <row r="985" spans="1:19" x14ac:dyDescent="0.25">
      <c r="A985" s="9" t="s">
        <v>817</v>
      </c>
      <c r="B985" s="9" t="s">
        <v>291</v>
      </c>
      <c r="C985" s="4">
        <v>201004770</v>
      </c>
      <c r="D985" s="4" t="s">
        <v>839</v>
      </c>
      <c r="E985" s="4" t="str">
        <f>"096252010"</f>
        <v>096252010</v>
      </c>
      <c r="F985" s="10">
        <v>40387</v>
      </c>
      <c r="G985" s="11">
        <v>85000</v>
      </c>
      <c r="H985" s="11">
        <v>85000</v>
      </c>
      <c r="I985" s="4" t="s">
        <v>91</v>
      </c>
      <c r="J985" s="4" t="s">
        <v>92</v>
      </c>
      <c r="K985" s="11">
        <v>0</v>
      </c>
      <c r="L985" s="4"/>
      <c r="M985" s="4"/>
      <c r="N985" s="11">
        <v>0</v>
      </c>
      <c r="O985" s="4"/>
      <c r="P985" s="4"/>
      <c r="Q985" s="11">
        <v>0</v>
      </c>
      <c r="R985" s="4"/>
      <c r="S985" s="12"/>
    </row>
    <row r="986" spans="1:19" x14ac:dyDescent="0.25">
      <c r="A986" s="9" t="s">
        <v>817</v>
      </c>
      <c r="B986" s="9" t="s">
        <v>291</v>
      </c>
      <c r="C986" s="4">
        <v>201004783</v>
      </c>
      <c r="D986" s="4"/>
      <c r="E986" s="4" t="str">
        <f>"096352010"</f>
        <v>096352010</v>
      </c>
      <c r="F986" s="10">
        <v>40387</v>
      </c>
      <c r="G986" s="11">
        <v>625000</v>
      </c>
      <c r="H986" s="11">
        <v>625000</v>
      </c>
      <c r="I986" s="4" t="s">
        <v>91</v>
      </c>
      <c r="J986" s="4" t="s">
        <v>92</v>
      </c>
      <c r="K986" s="11">
        <v>0</v>
      </c>
      <c r="L986" s="4"/>
      <c r="M986" s="4"/>
      <c r="N986" s="11">
        <v>0</v>
      </c>
      <c r="O986" s="4"/>
      <c r="P986" s="4"/>
      <c r="Q986" s="11">
        <v>0</v>
      </c>
      <c r="R986" s="4"/>
      <c r="S986" s="12"/>
    </row>
    <row r="987" spans="1:19" x14ac:dyDescent="0.25">
      <c r="A987" s="9" t="s">
        <v>817</v>
      </c>
      <c r="B987" s="9" t="s">
        <v>291</v>
      </c>
      <c r="C987" s="4">
        <v>201004951</v>
      </c>
      <c r="D987" s="4" t="s">
        <v>840</v>
      </c>
      <c r="E987" s="4" t="str">
        <f>"105712010"</f>
        <v>105712010</v>
      </c>
      <c r="F987" s="10">
        <v>40416</v>
      </c>
      <c r="G987" s="11">
        <v>13638.29</v>
      </c>
      <c r="H987" s="11">
        <v>13638.29</v>
      </c>
      <c r="I987" s="4" t="s">
        <v>472</v>
      </c>
      <c r="J987" s="4" t="s">
        <v>473</v>
      </c>
      <c r="K987" s="11">
        <v>0</v>
      </c>
      <c r="L987" s="4"/>
      <c r="M987" s="4"/>
      <c r="N987" s="11">
        <v>0</v>
      </c>
      <c r="O987" s="4"/>
      <c r="P987" s="4"/>
      <c r="Q987" s="11">
        <v>0</v>
      </c>
      <c r="R987" s="4"/>
      <c r="S987" s="12"/>
    </row>
    <row r="988" spans="1:19" x14ac:dyDescent="0.25">
      <c r="A988" s="9" t="s">
        <v>817</v>
      </c>
      <c r="B988" s="9" t="s">
        <v>291</v>
      </c>
      <c r="C988" s="4">
        <v>201005021</v>
      </c>
      <c r="D988" s="4" t="s">
        <v>840</v>
      </c>
      <c r="E988" s="4" t="str">
        <f>"105732010"</f>
        <v>105732010</v>
      </c>
      <c r="F988" s="10">
        <v>40416</v>
      </c>
      <c r="G988" s="11">
        <v>14012.56</v>
      </c>
      <c r="H988" s="11">
        <v>14012.56</v>
      </c>
      <c r="I988" s="4" t="s">
        <v>472</v>
      </c>
      <c r="J988" s="4" t="s">
        <v>473</v>
      </c>
      <c r="K988" s="11">
        <v>0</v>
      </c>
      <c r="L988" s="4"/>
      <c r="M988" s="4"/>
      <c r="N988" s="11">
        <v>0</v>
      </c>
      <c r="O988" s="4"/>
      <c r="P988" s="4"/>
      <c r="Q988" s="11">
        <v>0</v>
      </c>
      <c r="R988" s="4"/>
      <c r="S988" s="12"/>
    </row>
    <row r="989" spans="1:19" x14ac:dyDescent="0.25">
      <c r="A989" s="9" t="s">
        <v>817</v>
      </c>
      <c r="B989" s="9" t="s">
        <v>291</v>
      </c>
      <c r="C989" s="4">
        <v>201005022</v>
      </c>
      <c r="D989" s="4" t="s">
        <v>840</v>
      </c>
      <c r="E989" s="4" t="str">
        <f>"105752010"</f>
        <v>105752010</v>
      </c>
      <c r="F989" s="10">
        <v>40416</v>
      </c>
      <c r="G989" s="11">
        <v>14516.32</v>
      </c>
      <c r="H989" s="11">
        <v>14516.32</v>
      </c>
      <c r="I989" s="4" t="s">
        <v>472</v>
      </c>
      <c r="J989" s="4" t="s">
        <v>473</v>
      </c>
      <c r="K989" s="11">
        <v>0</v>
      </c>
      <c r="L989" s="4"/>
      <c r="M989" s="4"/>
      <c r="N989" s="11">
        <v>0</v>
      </c>
      <c r="O989" s="4"/>
      <c r="P989" s="4"/>
      <c r="Q989" s="11">
        <v>0</v>
      </c>
      <c r="R989" s="4"/>
      <c r="S989" s="12"/>
    </row>
    <row r="990" spans="1:19" x14ac:dyDescent="0.25">
      <c r="A990" s="9" t="s">
        <v>817</v>
      </c>
      <c r="B990" s="9" t="s">
        <v>291</v>
      </c>
      <c r="C990" s="4">
        <v>201005023</v>
      </c>
      <c r="D990" s="4" t="s">
        <v>840</v>
      </c>
      <c r="E990" s="4" t="str">
        <f>"105692010"</f>
        <v>105692010</v>
      </c>
      <c r="F990" s="10">
        <v>40416</v>
      </c>
      <c r="G990" s="11">
        <v>8284.86</v>
      </c>
      <c r="H990" s="11">
        <v>8284.86</v>
      </c>
      <c r="I990" s="4" t="s">
        <v>472</v>
      </c>
      <c r="J990" s="4" t="s">
        <v>473</v>
      </c>
      <c r="K990" s="11">
        <v>0</v>
      </c>
      <c r="L990" s="4"/>
      <c r="M990" s="4"/>
      <c r="N990" s="11">
        <v>0</v>
      </c>
      <c r="O990" s="4"/>
      <c r="P990" s="4"/>
      <c r="Q990" s="11">
        <v>0</v>
      </c>
      <c r="R990" s="4"/>
      <c r="S990" s="12"/>
    </row>
    <row r="991" spans="1:19" x14ac:dyDescent="0.25">
      <c r="A991" s="9" t="s">
        <v>817</v>
      </c>
      <c r="B991" s="9" t="s">
        <v>291</v>
      </c>
      <c r="C991" s="4">
        <v>201005440</v>
      </c>
      <c r="D991" s="4" t="s">
        <v>841</v>
      </c>
      <c r="E991" s="4" t="str">
        <f>"108092010"</f>
        <v>108092010</v>
      </c>
      <c r="F991" s="10">
        <v>40423</v>
      </c>
      <c r="G991" s="11">
        <v>300000</v>
      </c>
      <c r="H991" s="11">
        <v>300000</v>
      </c>
      <c r="I991" s="4" t="s">
        <v>91</v>
      </c>
      <c r="J991" s="4" t="s">
        <v>92</v>
      </c>
      <c r="K991" s="11">
        <v>0</v>
      </c>
      <c r="L991" s="4"/>
      <c r="M991" s="4"/>
      <c r="N991" s="11">
        <v>0</v>
      </c>
      <c r="O991" s="4"/>
      <c r="P991" s="4"/>
      <c r="Q991" s="11">
        <v>0</v>
      </c>
      <c r="R991" s="4"/>
      <c r="S991" s="12"/>
    </row>
    <row r="992" spans="1:19" x14ac:dyDescent="0.25">
      <c r="A992" s="9" t="s">
        <v>817</v>
      </c>
      <c r="B992" s="9" t="s">
        <v>291</v>
      </c>
      <c r="C992" s="4">
        <v>201005637</v>
      </c>
      <c r="D992" s="4" t="s">
        <v>842</v>
      </c>
      <c r="E992" s="4" t="str">
        <f>"111472010"</f>
        <v>111472010</v>
      </c>
      <c r="F992" s="10">
        <v>40437</v>
      </c>
      <c r="G992" s="11">
        <v>2000000</v>
      </c>
      <c r="H992" s="11">
        <v>2000000</v>
      </c>
      <c r="I992" s="4" t="s">
        <v>91</v>
      </c>
      <c r="J992" s="4" t="s">
        <v>92</v>
      </c>
      <c r="K992" s="11">
        <v>0</v>
      </c>
      <c r="L992" s="4"/>
      <c r="M992" s="4"/>
      <c r="N992" s="11">
        <v>0</v>
      </c>
      <c r="O992" s="4"/>
      <c r="P992" s="4"/>
      <c r="Q992" s="11">
        <v>0</v>
      </c>
      <c r="R992" s="4"/>
      <c r="S992" s="12"/>
    </row>
    <row r="993" spans="1:19" x14ac:dyDescent="0.25">
      <c r="A993" s="9" t="s">
        <v>843</v>
      </c>
      <c r="B993" s="9" t="s">
        <v>291</v>
      </c>
      <c r="C993" s="4">
        <v>201000833</v>
      </c>
      <c r="D993" s="4" t="s">
        <v>844</v>
      </c>
      <c r="E993" s="4" t="str">
        <f>"015982010"</f>
        <v>015982010</v>
      </c>
      <c r="F993" s="10">
        <v>40149</v>
      </c>
      <c r="G993" s="11">
        <v>7264</v>
      </c>
      <c r="H993" s="11">
        <v>7264</v>
      </c>
      <c r="I993" s="4" t="s">
        <v>23</v>
      </c>
      <c r="J993" s="4" t="s">
        <v>24</v>
      </c>
      <c r="K993" s="11">
        <v>0</v>
      </c>
      <c r="L993" s="4"/>
      <c r="M993" s="4"/>
      <c r="N993" s="11">
        <v>0</v>
      </c>
      <c r="O993" s="4"/>
      <c r="P993" s="4"/>
      <c r="Q993" s="11">
        <v>0</v>
      </c>
      <c r="R993" s="4"/>
      <c r="S993" s="12"/>
    </row>
    <row r="994" spans="1:19" x14ac:dyDescent="0.25">
      <c r="A994" s="9" t="s">
        <v>843</v>
      </c>
      <c r="B994" s="9" t="s">
        <v>291</v>
      </c>
      <c r="C994" s="4">
        <v>201001409</v>
      </c>
      <c r="D994" s="4" t="s">
        <v>845</v>
      </c>
      <c r="E994" s="4" t="str">
        <f>"027652010"</f>
        <v>027652010</v>
      </c>
      <c r="F994" s="10">
        <v>40185</v>
      </c>
      <c r="G994" s="11">
        <v>30000</v>
      </c>
      <c r="H994" s="11">
        <v>30000</v>
      </c>
      <c r="I994" s="4" t="s">
        <v>23</v>
      </c>
      <c r="J994" s="4" t="s">
        <v>24</v>
      </c>
      <c r="K994" s="11">
        <v>0</v>
      </c>
      <c r="L994" s="4"/>
      <c r="M994" s="4"/>
      <c r="N994" s="11">
        <v>0</v>
      </c>
      <c r="O994" s="4"/>
      <c r="P994" s="4"/>
      <c r="Q994" s="11">
        <v>0</v>
      </c>
      <c r="R994" s="4"/>
      <c r="S994" s="12"/>
    </row>
    <row r="995" spans="1:19" x14ac:dyDescent="0.25">
      <c r="A995" s="9" t="s">
        <v>843</v>
      </c>
      <c r="B995" s="9" t="s">
        <v>291</v>
      </c>
      <c r="C995" s="4">
        <v>201001673</v>
      </c>
      <c r="D995" s="4" t="s">
        <v>846</v>
      </c>
      <c r="E995" s="4" t="str">
        <f>"032522010"</f>
        <v>032522010</v>
      </c>
      <c r="F995" s="10">
        <v>40205</v>
      </c>
      <c r="G995" s="11">
        <v>57000</v>
      </c>
      <c r="H995" s="11">
        <v>57000</v>
      </c>
      <c r="I995" s="4" t="s">
        <v>30</v>
      </c>
      <c r="J995" s="4" t="s">
        <v>31</v>
      </c>
      <c r="K995" s="11">
        <v>0</v>
      </c>
      <c r="L995" s="4"/>
      <c r="M995" s="4"/>
      <c r="N995" s="11">
        <v>0</v>
      </c>
      <c r="O995" s="4"/>
      <c r="P995" s="4"/>
      <c r="Q995" s="11">
        <v>0</v>
      </c>
      <c r="R995" s="4"/>
      <c r="S995" s="12"/>
    </row>
    <row r="996" spans="1:19" x14ac:dyDescent="0.25">
      <c r="A996" s="9" t="s">
        <v>843</v>
      </c>
      <c r="B996" s="9" t="s">
        <v>291</v>
      </c>
      <c r="C996" s="4">
        <v>201001673</v>
      </c>
      <c r="D996" s="4" t="s">
        <v>846</v>
      </c>
      <c r="E996" s="4" t="str">
        <f>"032542010"</f>
        <v>032542010</v>
      </c>
      <c r="F996" s="10">
        <v>40205</v>
      </c>
      <c r="G996" s="11">
        <v>323000</v>
      </c>
      <c r="H996" s="11">
        <v>323000</v>
      </c>
      <c r="I996" s="4" t="s">
        <v>30</v>
      </c>
      <c r="J996" s="4" t="s">
        <v>31</v>
      </c>
      <c r="K996" s="11">
        <v>0</v>
      </c>
      <c r="L996" s="4"/>
      <c r="M996" s="4"/>
      <c r="N996" s="11">
        <v>0</v>
      </c>
      <c r="O996" s="4"/>
      <c r="P996" s="4"/>
      <c r="Q996" s="11">
        <v>0</v>
      </c>
      <c r="R996" s="4"/>
      <c r="S996" s="12"/>
    </row>
    <row r="997" spans="1:19" x14ac:dyDescent="0.25">
      <c r="A997" s="9" t="s">
        <v>843</v>
      </c>
      <c r="B997" s="9" t="s">
        <v>291</v>
      </c>
      <c r="C997" s="4">
        <v>201001979</v>
      </c>
      <c r="D997" s="4" t="s">
        <v>847</v>
      </c>
      <c r="E997" s="4" t="str">
        <f>"043052010"</f>
        <v>043052010</v>
      </c>
      <c r="F997" s="10">
        <v>40240</v>
      </c>
      <c r="G997" s="11">
        <v>950</v>
      </c>
      <c r="H997" s="11">
        <v>950</v>
      </c>
      <c r="I997" s="4" t="s">
        <v>23</v>
      </c>
      <c r="J997" s="4" t="s">
        <v>24</v>
      </c>
      <c r="K997" s="11">
        <v>0</v>
      </c>
      <c r="L997" s="4"/>
      <c r="M997" s="4"/>
      <c r="N997" s="11">
        <v>0</v>
      </c>
      <c r="O997" s="4"/>
      <c r="P997" s="4"/>
      <c r="Q997" s="11">
        <v>0</v>
      </c>
      <c r="R997" s="4"/>
      <c r="S997" s="12"/>
    </row>
    <row r="998" spans="1:19" x14ac:dyDescent="0.25">
      <c r="A998" s="9" t="s">
        <v>843</v>
      </c>
      <c r="B998" s="9" t="s">
        <v>291</v>
      </c>
      <c r="C998" s="4">
        <v>201002073</v>
      </c>
      <c r="D998" s="4" t="s">
        <v>848</v>
      </c>
      <c r="E998" s="4" t="str">
        <f>"040682010"</f>
        <v>040682010</v>
      </c>
      <c r="F998" s="10">
        <v>40234</v>
      </c>
      <c r="G998" s="11">
        <v>20000</v>
      </c>
      <c r="H998" s="11">
        <v>20000</v>
      </c>
      <c r="I998" s="4" t="s">
        <v>23</v>
      </c>
      <c r="J998" s="4" t="s">
        <v>24</v>
      </c>
      <c r="K998" s="11">
        <v>0</v>
      </c>
      <c r="L998" s="4"/>
      <c r="M998" s="4"/>
      <c r="N998" s="11">
        <v>0</v>
      </c>
      <c r="O998" s="4"/>
      <c r="P998" s="4"/>
      <c r="Q998" s="11">
        <v>0</v>
      </c>
      <c r="R998" s="4"/>
      <c r="S998" s="12"/>
    </row>
    <row r="999" spans="1:19" x14ac:dyDescent="0.25">
      <c r="A999" s="9" t="s">
        <v>843</v>
      </c>
      <c r="B999" s="9" t="s">
        <v>291</v>
      </c>
      <c r="C999" s="4">
        <v>201002341</v>
      </c>
      <c r="D999" s="4" t="s">
        <v>2534</v>
      </c>
      <c r="E999" s="4" t="str">
        <f>"050722010"</f>
        <v>050722010</v>
      </c>
      <c r="F999" s="10">
        <v>40263</v>
      </c>
      <c r="G999" s="11">
        <v>282650</v>
      </c>
      <c r="H999" s="11">
        <v>0</v>
      </c>
      <c r="I999" s="4"/>
      <c r="J999" s="4"/>
      <c r="K999" s="11">
        <v>282650</v>
      </c>
      <c r="L999" s="4" t="s">
        <v>167</v>
      </c>
      <c r="M999" s="4" t="s">
        <v>168</v>
      </c>
      <c r="N999" s="11">
        <v>0</v>
      </c>
      <c r="O999" s="4"/>
      <c r="P999" s="4"/>
      <c r="Q999" s="11">
        <v>0</v>
      </c>
      <c r="R999" s="4"/>
      <c r="S999" s="12"/>
    </row>
    <row r="1000" spans="1:19" x14ac:dyDescent="0.25">
      <c r="A1000" s="9" t="s">
        <v>843</v>
      </c>
      <c r="B1000" s="9" t="s">
        <v>291</v>
      </c>
      <c r="C1000" s="4">
        <v>201002520</v>
      </c>
      <c r="D1000" s="4" t="s">
        <v>849</v>
      </c>
      <c r="E1000" s="4" t="str">
        <f>"049782010"</f>
        <v>049782010</v>
      </c>
      <c r="F1000" s="10">
        <v>40262</v>
      </c>
      <c r="G1000" s="11">
        <v>10000</v>
      </c>
      <c r="H1000" s="11">
        <v>10000</v>
      </c>
      <c r="I1000" s="4" t="s">
        <v>23</v>
      </c>
      <c r="J1000" s="4" t="s">
        <v>24</v>
      </c>
      <c r="K1000" s="11">
        <v>0</v>
      </c>
      <c r="L1000" s="4"/>
      <c r="M1000" s="4"/>
      <c r="N1000" s="11">
        <v>0</v>
      </c>
      <c r="O1000" s="4"/>
      <c r="P1000" s="4"/>
      <c r="Q1000" s="11">
        <v>0</v>
      </c>
      <c r="R1000" s="4"/>
      <c r="S1000" s="12"/>
    </row>
    <row r="1001" spans="1:19" x14ac:dyDescent="0.25">
      <c r="A1001" s="9" t="s">
        <v>843</v>
      </c>
      <c r="B1001" s="9" t="s">
        <v>291</v>
      </c>
      <c r="C1001" s="4">
        <v>201002610</v>
      </c>
      <c r="D1001" s="4" t="s">
        <v>850</v>
      </c>
      <c r="E1001" s="4" t="str">
        <f>"052082010"</f>
        <v>052082010</v>
      </c>
      <c r="F1001" s="10">
        <v>40266</v>
      </c>
      <c r="G1001" s="11">
        <v>1650000</v>
      </c>
      <c r="H1001" s="11">
        <v>1650000</v>
      </c>
      <c r="I1001" s="4" t="s">
        <v>23</v>
      </c>
      <c r="J1001" s="4" t="s">
        <v>24</v>
      </c>
      <c r="K1001" s="11">
        <v>0</v>
      </c>
      <c r="L1001" s="4"/>
      <c r="M1001" s="4"/>
      <c r="N1001" s="11">
        <v>0</v>
      </c>
      <c r="O1001" s="4"/>
      <c r="P1001" s="4"/>
      <c r="Q1001" s="11">
        <v>0</v>
      </c>
      <c r="R1001" s="4"/>
      <c r="S1001" s="12"/>
    </row>
    <row r="1002" spans="1:19" x14ac:dyDescent="0.25">
      <c r="A1002" s="9" t="s">
        <v>843</v>
      </c>
      <c r="B1002" s="9" t="s">
        <v>291</v>
      </c>
      <c r="C1002" s="4">
        <v>201002854</v>
      </c>
      <c r="D1002" s="4" t="s">
        <v>851</v>
      </c>
      <c r="E1002" s="4" t="str">
        <f>"059192010"</f>
        <v>059192010</v>
      </c>
      <c r="F1002" s="10">
        <v>40284</v>
      </c>
      <c r="G1002" s="11">
        <v>50125.7</v>
      </c>
      <c r="H1002" s="11">
        <v>0</v>
      </c>
      <c r="I1002" s="4"/>
      <c r="J1002" s="4"/>
      <c r="K1002" s="11">
        <v>49809</v>
      </c>
      <c r="L1002" s="4" t="s">
        <v>167</v>
      </c>
      <c r="M1002" s="4" t="s">
        <v>168</v>
      </c>
      <c r="N1002" s="11">
        <v>119.25</v>
      </c>
      <c r="O1002" s="4" t="s">
        <v>167</v>
      </c>
      <c r="P1002" s="4" t="s">
        <v>168</v>
      </c>
      <c r="Q1002" s="11">
        <v>197.45</v>
      </c>
      <c r="R1002" s="4" t="s">
        <v>167</v>
      </c>
      <c r="S1002" s="12" t="s">
        <v>168</v>
      </c>
    </row>
    <row r="1003" spans="1:19" x14ac:dyDescent="0.25">
      <c r="A1003" s="9" t="s">
        <v>843</v>
      </c>
      <c r="B1003" s="9" t="s">
        <v>291</v>
      </c>
      <c r="C1003" s="4">
        <v>201002930</v>
      </c>
      <c r="D1003" s="4" t="s">
        <v>852</v>
      </c>
      <c r="E1003" s="4" t="str">
        <f>"059212010"</f>
        <v>059212010</v>
      </c>
      <c r="F1003" s="10">
        <v>40284</v>
      </c>
      <c r="G1003" s="11">
        <v>15000</v>
      </c>
      <c r="H1003" s="11">
        <v>15000</v>
      </c>
      <c r="I1003" s="4" t="s">
        <v>30</v>
      </c>
      <c r="J1003" s="4" t="s">
        <v>31</v>
      </c>
      <c r="K1003" s="11">
        <v>0</v>
      </c>
      <c r="L1003" s="4"/>
      <c r="M1003" s="4"/>
      <c r="N1003" s="11">
        <v>0</v>
      </c>
      <c r="O1003" s="4"/>
      <c r="P1003" s="4"/>
      <c r="Q1003" s="11">
        <v>0</v>
      </c>
      <c r="R1003" s="4"/>
      <c r="S1003" s="12"/>
    </row>
    <row r="1004" spans="1:19" x14ac:dyDescent="0.25">
      <c r="A1004" s="9" t="s">
        <v>843</v>
      </c>
      <c r="B1004" s="9" t="s">
        <v>291</v>
      </c>
      <c r="C1004" s="4">
        <v>201002947</v>
      </c>
      <c r="D1004" s="4" t="s">
        <v>853</v>
      </c>
      <c r="E1004" s="4" t="str">
        <f>"060802010"</f>
        <v>060802010</v>
      </c>
      <c r="F1004" s="10">
        <v>40290</v>
      </c>
      <c r="G1004" s="11">
        <v>5000000</v>
      </c>
      <c r="H1004" s="11">
        <v>5000000</v>
      </c>
      <c r="I1004" s="4" t="s">
        <v>38</v>
      </c>
      <c r="J1004" s="4" t="s">
        <v>39</v>
      </c>
      <c r="K1004" s="11">
        <v>0</v>
      </c>
      <c r="L1004" s="4"/>
      <c r="M1004" s="4"/>
      <c r="N1004" s="11">
        <v>0</v>
      </c>
      <c r="O1004" s="4"/>
      <c r="P1004" s="4"/>
      <c r="Q1004" s="11">
        <v>0</v>
      </c>
      <c r="R1004" s="4"/>
      <c r="S1004" s="12"/>
    </row>
    <row r="1005" spans="1:19" x14ac:dyDescent="0.25">
      <c r="A1005" s="9" t="s">
        <v>843</v>
      </c>
      <c r="B1005" s="9" t="s">
        <v>291</v>
      </c>
      <c r="C1005" s="4">
        <v>201003612</v>
      </c>
      <c r="D1005" s="4"/>
      <c r="E1005" s="4" t="str">
        <f>"072732010"</f>
        <v>072732010</v>
      </c>
      <c r="F1005" s="10">
        <v>40324</v>
      </c>
      <c r="G1005" s="11">
        <v>1030</v>
      </c>
      <c r="H1005" s="11">
        <v>1030</v>
      </c>
      <c r="I1005" s="4" t="s">
        <v>167</v>
      </c>
      <c r="J1005" s="4" t="s">
        <v>168</v>
      </c>
      <c r="K1005" s="11">
        <v>0</v>
      </c>
      <c r="L1005" s="4"/>
      <c r="M1005" s="4"/>
      <c r="N1005" s="11">
        <v>0</v>
      </c>
      <c r="O1005" s="4"/>
      <c r="P1005" s="4"/>
      <c r="Q1005" s="11">
        <v>0</v>
      </c>
      <c r="R1005" s="4"/>
      <c r="S1005" s="12"/>
    </row>
    <row r="1006" spans="1:19" x14ac:dyDescent="0.25">
      <c r="A1006" s="9" t="s">
        <v>843</v>
      </c>
      <c r="B1006" s="9" t="s">
        <v>291</v>
      </c>
      <c r="C1006" s="4">
        <v>201003784</v>
      </c>
      <c r="D1006" s="4" t="s">
        <v>854</v>
      </c>
      <c r="E1006" s="4" t="str">
        <f>"078172010"</f>
        <v>078172010</v>
      </c>
      <c r="F1006" s="10">
        <v>40340</v>
      </c>
      <c r="G1006" s="11">
        <v>252144.29</v>
      </c>
      <c r="H1006" s="11">
        <v>250000</v>
      </c>
      <c r="I1006" s="4" t="s">
        <v>38</v>
      </c>
      <c r="J1006" s="4" t="s">
        <v>39</v>
      </c>
      <c r="K1006" s="11">
        <v>0</v>
      </c>
      <c r="L1006" s="4"/>
      <c r="M1006" s="4"/>
      <c r="N1006" s="11">
        <v>0</v>
      </c>
      <c r="O1006" s="4"/>
      <c r="P1006" s="4"/>
      <c r="Q1006" s="11">
        <v>2144.29</v>
      </c>
      <c r="R1006" s="4" t="s">
        <v>317</v>
      </c>
      <c r="S1006" s="12" t="s">
        <v>318</v>
      </c>
    </row>
    <row r="1007" spans="1:19" x14ac:dyDescent="0.25">
      <c r="A1007" s="9" t="s">
        <v>843</v>
      </c>
      <c r="B1007" s="9" t="s">
        <v>291</v>
      </c>
      <c r="C1007" s="4">
        <v>201003907</v>
      </c>
      <c r="D1007" s="4" t="s">
        <v>854</v>
      </c>
      <c r="E1007" s="4" t="str">
        <f>"077892010"</f>
        <v>077892010</v>
      </c>
      <c r="F1007" s="10">
        <v>40347</v>
      </c>
      <c r="G1007" s="11">
        <v>29248737.850000001</v>
      </c>
      <c r="H1007" s="11">
        <v>29000000</v>
      </c>
      <c r="I1007" s="4" t="s">
        <v>38</v>
      </c>
      <c r="J1007" s="4" t="s">
        <v>39</v>
      </c>
      <c r="K1007" s="11">
        <v>0</v>
      </c>
      <c r="L1007" s="4"/>
      <c r="M1007" s="4"/>
      <c r="N1007" s="11">
        <v>0</v>
      </c>
      <c r="O1007" s="4"/>
      <c r="P1007" s="4"/>
      <c r="Q1007" s="11">
        <v>248737.85</v>
      </c>
      <c r="R1007" s="4" t="s">
        <v>317</v>
      </c>
      <c r="S1007" s="12" t="s">
        <v>318</v>
      </c>
    </row>
    <row r="1008" spans="1:19" x14ac:dyDescent="0.25">
      <c r="A1008" s="9" t="s">
        <v>843</v>
      </c>
      <c r="B1008" s="9" t="s">
        <v>291</v>
      </c>
      <c r="C1008" s="4">
        <v>201003908</v>
      </c>
      <c r="D1008" s="4" t="s">
        <v>854</v>
      </c>
      <c r="E1008" s="4" t="str">
        <f>"077352010"</f>
        <v>077352010</v>
      </c>
      <c r="F1008" s="10">
        <v>40338</v>
      </c>
      <c r="G1008" s="11">
        <v>251823.43</v>
      </c>
      <c r="H1008" s="11">
        <v>250000</v>
      </c>
      <c r="I1008" s="4" t="s">
        <v>38</v>
      </c>
      <c r="J1008" s="4" t="s">
        <v>39</v>
      </c>
      <c r="K1008" s="11">
        <v>0</v>
      </c>
      <c r="L1008" s="4"/>
      <c r="M1008" s="4"/>
      <c r="N1008" s="11">
        <v>0</v>
      </c>
      <c r="O1008" s="4"/>
      <c r="P1008" s="4"/>
      <c r="Q1008" s="11">
        <v>1823.43</v>
      </c>
      <c r="R1008" s="4" t="s">
        <v>317</v>
      </c>
      <c r="S1008" s="12" t="s">
        <v>318</v>
      </c>
    </row>
    <row r="1009" spans="1:19" x14ac:dyDescent="0.25">
      <c r="A1009" s="9" t="s">
        <v>843</v>
      </c>
      <c r="B1009" s="9" t="s">
        <v>291</v>
      </c>
      <c r="C1009" s="4">
        <v>201003909</v>
      </c>
      <c r="D1009" s="4" t="s">
        <v>854</v>
      </c>
      <c r="E1009" s="4" t="str">
        <f>"077912010"</f>
        <v>077912010</v>
      </c>
      <c r="F1009" s="10">
        <v>40340</v>
      </c>
      <c r="G1009" s="11">
        <v>1059006.03</v>
      </c>
      <c r="H1009" s="11">
        <v>1050000</v>
      </c>
      <c r="I1009" s="4" t="s">
        <v>38</v>
      </c>
      <c r="J1009" s="4" t="s">
        <v>39</v>
      </c>
      <c r="K1009" s="11">
        <v>0</v>
      </c>
      <c r="L1009" s="4"/>
      <c r="M1009" s="4"/>
      <c r="N1009" s="11">
        <v>0</v>
      </c>
      <c r="O1009" s="4"/>
      <c r="P1009" s="4"/>
      <c r="Q1009" s="11">
        <v>9006.0300000000007</v>
      </c>
      <c r="R1009" s="4" t="s">
        <v>416</v>
      </c>
      <c r="S1009" s="12" t="s">
        <v>417</v>
      </c>
    </row>
    <row r="1010" spans="1:19" x14ac:dyDescent="0.25">
      <c r="A1010" s="9" t="s">
        <v>843</v>
      </c>
      <c r="B1010" s="9" t="s">
        <v>291</v>
      </c>
      <c r="C1010" s="4">
        <v>201003913</v>
      </c>
      <c r="D1010" s="4" t="s">
        <v>855</v>
      </c>
      <c r="E1010" s="4" t="str">
        <f>"077972010"</f>
        <v>077972010</v>
      </c>
      <c r="F1010" s="10">
        <v>40339</v>
      </c>
      <c r="G1010" s="11">
        <v>252144.29</v>
      </c>
      <c r="H1010" s="11">
        <v>250000</v>
      </c>
      <c r="I1010" s="4" t="s">
        <v>38</v>
      </c>
      <c r="J1010" s="4" t="s">
        <v>39</v>
      </c>
      <c r="K1010" s="11">
        <v>0</v>
      </c>
      <c r="L1010" s="4"/>
      <c r="M1010" s="4"/>
      <c r="N1010" s="11">
        <v>0</v>
      </c>
      <c r="O1010" s="4"/>
      <c r="P1010" s="4"/>
      <c r="Q1010" s="11">
        <v>2144.29</v>
      </c>
      <c r="R1010" s="4" t="s">
        <v>317</v>
      </c>
      <c r="S1010" s="12" t="s">
        <v>318</v>
      </c>
    </row>
    <row r="1011" spans="1:19" x14ac:dyDescent="0.25">
      <c r="A1011" s="9" t="s">
        <v>843</v>
      </c>
      <c r="B1011" s="9" t="s">
        <v>291</v>
      </c>
      <c r="C1011" s="4">
        <v>201003914</v>
      </c>
      <c r="D1011" s="4" t="s">
        <v>855</v>
      </c>
      <c r="E1011" s="4" t="str">
        <f>"078032010"</f>
        <v>078032010</v>
      </c>
      <c r="F1011" s="10">
        <v>40339</v>
      </c>
      <c r="G1011" s="11">
        <v>28240160.68</v>
      </c>
      <c r="H1011" s="11">
        <v>28000000</v>
      </c>
      <c r="I1011" s="4" t="s">
        <v>38</v>
      </c>
      <c r="J1011" s="4" t="s">
        <v>39</v>
      </c>
      <c r="K1011" s="11">
        <v>0</v>
      </c>
      <c r="L1011" s="4"/>
      <c r="M1011" s="4"/>
      <c r="N1011" s="11">
        <v>0</v>
      </c>
      <c r="O1011" s="4"/>
      <c r="P1011" s="4"/>
      <c r="Q1011" s="11">
        <v>240160.68</v>
      </c>
      <c r="R1011" s="4" t="s">
        <v>317</v>
      </c>
      <c r="S1011" s="12" t="s">
        <v>318</v>
      </c>
    </row>
    <row r="1012" spans="1:19" x14ac:dyDescent="0.25">
      <c r="A1012" s="9" t="s">
        <v>843</v>
      </c>
      <c r="B1012" s="9" t="s">
        <v>291</v>
      </c>
      <c r="C1012" s="4">
        <v>201003964</v>
      </c>
      <c r="D1012" s="4" t="s">
        <v>855</v>
      </c>
      <c r="E1012" s="4" t="str">
        <f>"078112010"</f>
        <v>078112010</v>
      </c>
      <c r="F1012" s="10">
        <v>40339</v>
      </c>
      <c r="G1012" s="11">
        <v>50428.85</v>
      </c>
      <c r="H1012" s="11">
        <v>50000</v>
      </c>
      <c r="I1012" s="4" t="s">
        <v>38</v>
      </c>
      <c r="J1012" s="4" t="s">
        <v>39</v>
      </c>
      <c r="K1012" s="11">
        <v>0</v>
      </c>
      <c r="L1012" s="4"/>
      <c r="M1012" s="4"/>
      <c r="N1012" s="11">
        <v>0</v>
      </c>
      <c r="O1012" s="4"/>
      <c r="P1012" s="4"/>
      <c r="Q1012" s="11">
        <v>428.85</v>
      </c>
      <c r="R1012" s="4" t="s">
        <v>317</v>
      </c>
      <c r="S1012" s="12" t="s">
        <v>318</v>
      </c>
    </row>
    <row r="1013" spans="1:19" x14ac:dyDescent="0.25">
      <c r="A1013" s="9" t="s">
        <v>843</v>
      </c>
      <c r="B1013" s="9" t="s">
        <v>291</v>
      </c>
      <c r="C1013" s="4">
        <v>201003969</v>
      </c>
      <c r="D1013" s="4" t="s">
        <v>854</v>
      </c>
      <c r="E1013" s="4" t="str">
        <f>"077992010"</f>
        <v>077992010</v>
      </c>
      <c r="F1013" s="10">
        <v>40340</v>
      </c>
      <c r="G1013" s="11">
        <v>252144.29</v>
      </c>
      <c r="H1013" s="11">
        <v>250000</v>
      </c>
      <c r="I1013" s="4" t="s">
        <v>38</v>
      </c>
      <c r="J1013" s="4" t="s">
        <v>39</v>
      </c>
      <c r="K1013" s="11">
        <v>0</v>
      </c>
      <c r="L1013" s="4"/>
      <c r="M1013" s="4"/>
      <c r="N1013" s="11">
        <v>0</v>
      </c>
      <c r="O1013" s="4"/>
      <c r="P1013" s="4"/>
      <c r="Q1013" s="11">
        <v>2144.29</v>
      </c>
      <c r="R1013" s="4" t="s">
        <v>317</v>
      </c>
      <c r="S1013" s="12" t="s">
        <v>318</v>
      </c>
    </row>
    <row r="1014" spans="1:19" x14ac:dyDescent="0.25">
      <c r="A1014" s="9" t="s">
        <v>843</v>
      </c>
      <c r="B1014" s="9" t="s">
        <v>291</v>
      </c>
      <c r="C1014" s="4">
        <v>201004010</v>
      </c>
      <c r="D1014" s="4" t="s">
        <v>856</v>
      </c>
      <c r="E1014" s="4" t="str">
        <f>"078012010"</f>
        <v>078012010</v>
      </c>
      <c r="F1014" s="10">
        <v>40339</v>
      </c>
      <c r="G1014" s="11">
        <v>50428.85</v>
      </c>
      <c r="H1014" s="11">
        <v>50000</v>
      </c>
      <c r="I1014" s="4" t="s">
        <v>38</v>
      </c>
      <c r="J1014" s="4" t="s">
        <v>39</v>
      </c>
      <c r="K1014" s="11">
        <v>0</v>
      </c>
      <c r="L1014" s="4"/>
      <c r="M1014" s="4"/>
      <c r="N1014" s="11">
        <v>0</v>
      </c>
      <c r="O1014" s="4"/>
      <c r="P1014" s="4"/>
      <c r="Q1014" s="11">
        <v>428.85</v>
      </c>
      <c r="R1014" s="4" t="s">
        <v>317</v>
      </c>
      <c r="S1014" s="12" t="s">
        <v>318</v>
      </c>
    </row>
    <row r="1015" spans="1:19" x14ac:dyDescent="0.25">
      <c r="A1015" s="9" t="s">
        <v>843</v>
      </c>
      <c r="B1015" s="9" t="s">
        <v>291</v>
      </c>
      <c r="C1015" s="4">
        <v>201004014</v>
      </c>
      <c r="D1015" s="4" t="s">
        <v>856</v>
      </c>
      <c r="E1015" s="4" t="str">
        <f>"077952010"</f>
        <v>077952010</v>
      </c>
      <c r="F1015" s="10">
        <v>40339</v>
      </c>
      <c r="G1015" s="11">
        <v>252144.29</v>
      </c>
      <c r="H1015" s="11">
        <v>250000</v>
      </c>
      <c r="I1015" s="4" t="s">
        <v>38</v>
      </c>
      <c r="J1015" s="4" t="s">
        <v>39</v>
      </c>
      <c r="K1015" s="11">
        <v>0</v>
      </c>
      <c r="L1015" s="4"/>
      <c r="M1015" s="4"/>
      <c r="N1015" s="11">
        <v>0</v>
      </c>
      <c r="O1015" s="4"/>
      <c r="P1015" s="4"/>
      <c r="Q1015" s="11">
        <v>2144.29</v>
      </c>
      <c r="R1015" s="4" t="s">
        <v>317</v>
      </c>
      <c r="S1015" s="12" t="s">
        <v>318</v>
      </c>
    </row>
    <row r="1016" spans="1:19" x14ac:dyDescent="0.25">
      <c r="A1016" s="9" t="s">
        <v>843</v>
      </c>
      <c r="B1016" s="9" t="s">
        <v>291</v>
      </c>
      <c r="C1016" s="4">
        <v>201004029</v>
      </c>
      <c r="D1016" s="4" t="s">
        <v>856</v>
      </c>
      <c r="E1016" s="4" t="str">
        <f>"078592010"</f>
        <v>078592010</v>
      </c>
      <c r="F1016" s="10">
        <v>40343</v>
      </c>
      <c r="G1016" s="11">
        <v>252144.29</v>
      </c>
      <c r="H1016" s="11">
        <v>250000</v>
      </c>
      <c r="I1016" s="4" t="s">
        <v>38</v>
      </c>
      <c r="J1016" s="4" t="s">
        <v>39</v>
      </c>
      <c r="K1016" s="11">
        <v>0</v>
      </c>
      <c r="L1016" s="4"/>
      <c r="M1016" s="4"/>
      <c r="N1016" s="11">
        <v>0</v>
      </c>
      <c r="O1016" s="4"/>
      <c r="P1016" s="4"/>
      <c r="Q1016" s="11">
        <v>2144.29</v>
      </c>
      <c r="R1016" s="4" t="s">
        <v>317</v>
      </c>
      <c r="S1016" s="12" t="s">
        <v>318</v>
      </c>
    </row>
    <row r="1017" spans="1:19" x14ac:dyDescent="0.25">
      <c r="A1017" s="9" t="s">
        <v>843</v>
      </c>
      <c r="B1017" s="9" t="s">
        <v>291</v>
      </c>
      <c r="C1017" s="4">
        <v>201004067</v>
      </c>
      <c r="D1017" s="4" t="s">
        <v>856</v>
      </c>
      <c r="E1017" s="4" t="str">
        <f>"081082010"</f>
        <v>081082010</v>
      </c>
      <c r="F1017" s="10">
        <v>40345</v>
      </c>
      <c r="G1017" s="11">
        <v>1059006.03</v>
      </c>
      <c r="H1017" s="11">
        <v>1050000</v>
      </c>
      <c r="I1017" s="4" t="s">
        <v>38</v>
      </c>
      <c r="J1017" s="4" t="s">
        <v>39</v>
      </c>
      <c r="K1017" s="11">
        <v>0</v>
      </c>
      <c r="L1017" s="4"/>
      <c r="M1017" s="4"/>
      <c r="N1017" s="11">
        <v>0</v>
      </c>
      <c r="O1017" s="4"/>
      <c r="P1017" s="4"/>
      <c r="Q1017" s="11">
        <v>9006.0300000000007</v>
      </c>
      <c r="R1017" s="4" t="s">
        <v>416</v>
      </c>
      <c r="S1017" s="12" t="s">
        <v>417</v>
      </c>
    </row>
    <row r="1018" spans="1:19" x14ac:dyDescent="0.25">
      <c r="A1018" s="9" t="s">
        <v>843</v>
      </c>
      <c r="B1018" s="9" t="s">
        <v>291</v>
      </c>
      <c r="C1018" s="4">
        <v>201004073</v>
      </c>
      <c r="D1018" s="4" t="s">
        <v>854</v>
      </c>
      <c r="E1018" s="4" t="str">
        <f>"080262010"</f>
        <v>080262010</v>
      </c>
      <c r="F1018" s="10">
        <v>40345</v>
      </c>
      <c r="G1018" s="11">
        <v>252144.29</v>
      </c>
      <c r="H1018" s="11">
        <v>250000</v>
      </c>
      <c r="I1018" s="4" t="s">
        <v>38</v>
      </c>
      <c r="J1018" s="4" t="s">
        <v>39</v>
      </c>
      <c r="K1018" s="11">
        <v>0</v>
      </c>
      <c r="L1018" s="4"/>
      <c r="M1018" s="4"/>
      <c r="N1018" s="11">
        <v>0</v>
      </c>
      <c r="O1018" s="4"/>
      <c r="P1018" s="4"/>
      <c r="Q1018" s="11">
        <v>2144.29</v>
      </c>
      <c r="R1018" s="4" t="s">
        <v>317</v>
      </c>
      <c r="S1018" s="12" t="s">
        <v>318</v>
      </c>
    </row>
    <row r="1019" spans="1:19" x14ac:dyDescent="0.25">
      <c r="A1019" s="9" t="s">
        <v>843</v>
      </c>
      <c r="B1019" s="9" t="s">
        <v>291</v>
      </c>
      <c r="C1019" s="4">
        <v>201004078</v>
      </c>
      <c r="D1019" s="4" t="s">
        <v>322</v>
      </c>
      <c r="E1019" s="4" t="str">
        <f>"081102010"</f>
        <v>081102010</v>
      </c>
      <c r="F1019" s="10">
        <v>40345</v>
      </c>
      <c r="G1019" s="11">
        <v>1059006.03</v>
      </c>
      <c r="H1019" s="11">
        <v>1050000</v>
      </c>
      <c r="I1019" s="4" t="s">
        <v>38</v>
      </c>
      <c r="J1019" s="4" t="s">
        <v>39</v>
      </c>
      <c r="K1019" s="11">
        <v>0</v>
      </c>
      <c r="L1019" s="4"/>
      <c r="M1019" s="4"/>
      <c r="N1019" s="11">
        <v>0</v>
      </c>
      <c r="O1019" s="4"/>
      <c r="P1019" s="4"/>
      <c r="Q1019" s="11">
        <v>9006.0300000000007</v>
      </c>
      <c r="R1019" s="4" t="s">
        <v>317</v>
      </c>
      <c r="S1019" s="12" t="s">
        <v>318</v>
      </c>
    </row>
    <row r="1020" spans="1:19" x14ac:dyDescent="0.25">
      <c r="A1020" s="9" t="s">
        <v>843</v>
      </c>
      <c r="B1020" s="9" t="s">
        <v>291</v>
      </c>
      <c r="C1020" s="4">
        <v>201004079</v>
      </c>
      <c r="D1020" s="4" t="s">
        <v>856</v>
      </c>
      <c r="E1020" s="4" t="str">
        <f>"080302010"</f>
        <v>080302010</v>
      </c>
      <c r="F1020" s="10">
        <v>40346</v>
      </c>
      <c r="G1020" s="11">
        <v>252144.29</v>
      </c>
      <c r="H1020" s="11">
        <v>250000</v>
      </c>
      <c r="I1020" s="4" t="s">
        <v>38</v>
      </c>
      <c r="J1020" s="4" t="s">
        <v>39</v>
      </c>
      <c r="K1020" s="11">
        <v>0</v>
      </c>
      <c r="L1020" s="4"/>
      <c r="M1020" s="4"/>
      <c r="N1020" s="11">
        <v>0</v>
      </c>
      <c r="O1020" s="4"/>
      <c r="P1020" s="4"/>
      <c r="Q1020" s="11">
        <v>2144.29</v>
      </c>
      <c r="R1020" s="4" t="s">
        <v>416</v>
      </c>
      <c r="S1020" s="12" t="s">
        <v>417</v>
      </c>
    </row>
    <row r="1021" spans="1:19" x14ac:dyDescent="0.25">
      <c r="A1021" s="9" t="s">
        <v>843</v>
      </c>
      <c r="B1021" s="9" t="s">
        <v>291</v>
      </c>
      <c r="C1021" s="4">
        <v>201004081</v>
      </c>
      <c r="D1021" s="4" t="s">
        <v>856</v>
      </c>
      <c r="E1021" s="4" t="str">
        <f>"080282010"</f>
        <v>080282010</v>
      </c>
      <c r="F1021" s="10">
        <v>40346</v>
      </c>
      <c r="G1021" s="11">
        <v>252144.29</v>
      </c>
      <c r="H1021" s="11">
        <v>250000</v>
      </c>
      <c r="I1021" s="4" t="s">
        <v>38</v>
      </c>
      <c r="J1021" s="4" t="s">
        <v>39</v>
      </c>
      <c r="K1021" s="11">
        <v>0</v>
      </c>
      <c r="L1021" s="4"/>
      <c r="M1021" s="4"/>
      <c r="N1021" s="11">
        <v>0</v>
      </c>
      <c r="O1021" s="4"/>
      <c r="P1021" s="4"/>
      <c r="Q1021" s="11">
        <v>2144.29</v>
      </c>
      <c r="R1021" s="4" t="s">
        <v>317</v>
      </c>
      <c r="S1021" s="12" t="s">
        <v>318</v>
      </c>
    </row>
    <row r="1022" spans="1:19" x14ac:dyDescent="0.25">
      <c r="A1022" s="9" t="s">
        <v>843</v>
      </c>
      <c r="B1022" s="9" t="s">
        <v>291</v>
      </c>
      <c r="C1022" s="4">
        <v>201004083</v>
      </c>
      <c r="D1022" s="4" t="s">
        <v>856</v>
      </c>
      <c r="E1022" s="4" t="str">
        <f>"081062010"</f>
        <v>081062010</v>
      </c>
      <c r="F1022" s="10">
        <v>40345</v>
      </c>
      <c r="G1022" s="11">
        <v>26223006.34</v>
      </c>
      <c r="H1022" s="11">
        <v>26000000</v>
      </c>
      <c r="I1022" s="4" t="s">
        <v>38</v>
      </c>
      <c r="J1022" s="4" t="s">
        <v>39</v>
      </c>
      <c r="K1022" s="11">
        <v>0</v>
      </c>
      <c r="L1022" s="4"/>
      <c r="M1022" s="4"/>
      <c r="N1022" s="11">
        <v>0</v>
      </c>
      <c r="O1022" s="4"/>
      <c r="P1022" s="4"/>
      <c r="Q1022" s="11">
        <v>223006.34</v>
      </c>
      <c r="R1022" s="4" t="s">
        <v>317</v>
      </c>
      <c r="S1022" s="12" t="s">
        <v>318</v>
      </c>
    </row>
    <row r="1023" spans="1:19" x14ac:dyDescent="0.25">
      <c r="A1023" s="9" t="s">
        <v>843</v>
      </c>
      <c r="B1023" s="9" t="s">
        <v>291</v>
      </c>
      <c r="C1023" s="4">
        <v>201004087</v>
      </c>
      <c r="D1023" s="4" t="s">
        <v>856</v>
      </c>
      <c r="E1023" s="4" t="str">
        <f>"083982010"</f>
        <v>083982010</v>
      </c>
      <c r="F1023" s="10">
        <v>40351</v>
      </c>
      <c r="G1023" s="11">
        <v>13111503.17</v>
      </c>
      <c r="H1023" s="11">
        <v>13000000</v>
      </c>
      <c r="I1023" s="4" t="s">
        <v>38</v>
      </c>
      <c r="J1023" s="4" t="s">
        <v>39</v>
      </c>
      <c r="K1023" s="11">
        <v>0</v>
      </c>
      <c r="L1023" s="4"/>
      <c r="M1023" s="4"/>
      <c r="N1023" s="11">
        <v>0</v>
      </c>
      <c r="O1023" s="4"/>
      <c r="P1023" s="4"/>
      <c r="Q1023" s="11">
        <v>111503.17</v>
      </c>
      <c r="R1023" s="4" t="s">
        <v>317</v>
      </c>
      <c r="S1023" s="12" t="s">
        <v>318</v>
      </c>
    </row>
    <row r="1024" spans="1:19" x14ac:dyDescent="0.25">
      <c r="A1024" s="9" t="s">
        <v>843</v>
      </c>
      <c r="B1024" s="9" t="s">
        <v>291</v>
      </c>
      <c r="C1024" s="4">
        <v>201004095</v>
      </c>
      <c r="D1024" s="4" t="s">
        <v>854</v>
      </c>
      <c r="E1024" s="4" t="str">
        <f>"093922010"</f>
        <v>093922010</v>
      </c>
      <c r="F1024" s="10">
        <v>40379</v>
      </c>
      <c r="G1024" s="11">
        <v>13980.09</v>
      </c>
      <c r="H1024" s="11">
        <v>0</v>
      </c>
      <c r="I1024" s="4"/>
      <c r="J1024" s="4"/>
      <c r="K1024" s="11">
        <v>0</v>
      </c>
      <c r="L1024" s="4"/>
      <c r="M1024" s="4"/>
      <c r="N1024" s="11">
        <v>0</v>
      </c>
      <c r="O1024" s="4"/>
      <c r="P1024" s="4"/>
      <c r="Q1024" s="11">
        <v>13980.09</v>
      </c>
      <c r="R1024" s="4" t="s">
        <v>317</v>
      </c>
      <c r="S1024" s="12" t="s">
        <v>318</v>
      </c>
    </row>
    <row r="1025" spans="1:19" x14ac:dyDescent="0.25">
      <c r="A1025" s="9" t="s">
        <v>843</v>
      </c>
      <c r="B1025" s="9" t="s">
        <v>291</v>
      </c>
      <c r="C1025" s="4">
        <v>201004140</v>
      </c>
      <c r="D1025" s="4" t="s">
        <v>2534</v>
      </c>
      <c r="E1025" s="4" t="str">
        <f>"087802010"</f>
        <v>087802010</v>
      </c>
      <c r="F1025" s="10">
        <v>40360</v>
      </c>
      <c r="G1025" s="11">
        <v>1172137.8999999999</v>
      </c>
      <c r="H1025" s="11">
        <v>0</v>
      </c>
      <c r="I1025" s="4"/>
      <c r="J1025" s="4"/>
      <c r="K1025" s="11">
        <v>1172137.8999999999</v>
      </c>
      <c r="L1025" s="4" t="s">
        <v>167</v>
      </c>
      <c r="M1025" s="4" t="s">
        <v>168</v>
      </c>
      <c r="N1025" s="11">
        <v>0</v>
      </c>
      <c r="O1025" s="4"/>
      <c r="P1025" s="4"/>
      <c r="Q1025" s="11">
        <v>0</v>
      </c>
      <c r="R1025" s="4"/>
      <c r="S1025" s="12"/>
    </row>
    <row r="1026" spans="1:19" x14ac:dyDescent="0.25">
      <c r="A1026" s="9" t="s">
        <v>843</v>
      </c>
      <c r="B1026" s="9" t="s">
        <v>291</v>
      </c>
      <c r="C1026" s="4">
        <v>201004191</v>
      </c>
      <c r="D1026" s="4" t="s">
        <v>857</v>
      </c>
      <c r="E1026" s="4" t="str">
        <f>"087622010"</f>
        <v>087622010</v>
      </c>
      <c r="F1026" s="10">
        <v>40360</v>
      </c>
      <c r="G1026" s="11">
        <v>8000</v>
      </c>
      <c r="H1026" s="11">
        <v>8000</v>
      </c>
      <c r="I1026" s="4" t="s">
        <v>23</v>
      </c>
      <c r="J1026" s="4" t="s">
        <v>24</v>
      </c>
      <c r="K1026" s="11">
        <v>0</v>
      </c>
      <c r="L1026" s="4"/>
      <c r="M1026" s="4"/>
      <c r="N1026" s="11">
        <v>0</v>
      </c>
      <c r="O1026" s="4"/>
      <c r="P1026" s="4"/>
      <c r="Q1026" s="11">
        <v>0</v>
      </c>
      <c r="R1026" s="4"/>
      <c r="S1026" s="12"/>
    </row>
    <row r="1027" spans="1:19" x14ac:dyDescent="0.25">
      <c r="A1027" s="9" t="s">
        <v>843</v>
      </c>
      <c r="B1027" s="9" t="s">
        <v>291</v>
      </c>
      <c r="C1027" s="4">
        <v>201004415</v>
      </c>
      <c r="D1027" s="4" t="s">
        <v>858</v>
      </c>
      <c r="E1027" s="4" t="str">
        <f>"088182010"</f>
        <v>088182010</v>
      </c>
      <c r="F1027" s="10">
        <v>40367</v>
      </c>
      <c r="G1027" s="11">
        <v>25000</v>
      </c>
      <c r="H1027" s="11">
        <v>25000</v>
      </c>
      <c r="I1027" s="4" t="s">
        <v>23</v>
      </c>
      <c r="J1027" s="4" t="s">
        <v>24</v>
      </c>
      <c r="K1027" s="11">
        <v>0</v>
      </c>
      <c r="L1027" s="4"/>
      <c r="M1027" s="4"/>
      <c r="N1027" s="11">
        <v>0</v>
      </c>
      <c r="O1027" s="4"/>
      <c r="P1027" s="4"/>
      <c r="Q1027" s="11">
        <v>0</v>
      </c>
      <c r="R1027" s="4"/>
      <c r="S1027" s="12"/>
    </row>
    <row r="1028" spans="1:19" x14ac:dyDescent="0.25">
      <c r="A1028" s="9" t="s">
        <v>843</v>
      </c>
      <c r="B1028" s="9" t="s">
        <v>291</v>
      </c>
      <c r="C1028" s="4">
        <v>201004485</v>
      </c>
      <c r="D1028" s="4" t="s">
        <v>322</v>
      </c>
      <c r="E1028" s="4" t="str">
        <f>"088422010"</f>
        <v>088422010</v>
      </c>
      <c r="F1028" s="10">
        <v>40366</v>
      </c>
      <c r="G1028" s="11">
        <v>710279.57</v>
      </c>
      <c r="H1028" s="11">
        <v>0</v>
      </c>
      <c r="I1028" s="4"/>
      <c r="J1028" s="4"/>
      <c r="K1028" s="11">
        <v>0</v>
      </c>
      <c r="L1028" s="4"/>
      <c r="M1028" s="4"/>
      <c r="N1028" s="11">
        <v>0</v>
      </c>
      <c r="O1028" s="4"/>
      <c r="P1028" s="4"/>
      <c r="Q1028" s="11">
        <v>710279.57</v>
      </c>
      <c r="R1028" s="4" t="s">
        <v>416</v>
      </c>
      <c r="S1028" s="12" t="s">
        <v>417</v>
      </c>
    </row>
    <row r="1029" spans="1:19" x14ac:dyDescent="0.25">
      <c r="A1029" s="9" t="s">
        <v>843</v>
      </c>
      <c r="B1029" s="9" t="s">
        <v>291</v>
      </c>
      <c r="C1029" s="4">
        <v>201004489</v>
      </c>
      <c r="D1029" s="4" t="s">
        <v>859</v>
      </c>
      <c r="E1029" s="4" t="str">
        <f>"089042010"</f>
        <v>089042010</v>
      </c>
      <c r="F1029" s="10">
        <v>40366</v>
      </c>
      <c r="G1029" s="11">
        <v>13659.23</v>
      </c>
      <c r="H1029" s="11">
        <v>0</v>
      </c>
      <c r="I1029" s="4"/>
      <c r="J1029" s="4"/>
      <c r="K1029" s="11">
        <v>0</v>
      </c>
      <c r="L1029" s="4"/>
      <c r="M1029" s="4"/>
      <c r="N1029" s="11">
        <v>0</v>
      </c>
      <c r="O1029" s="4"/>
      <c r="P1029" s="4"/>
      <c r="Q1029" s="11">
        <v>13659.23</v>
      </c>
      <c r="R1029" s="4" t="s">
        <v>416</v>
      </c>
      <c r="S1029" s="12" t="s">
        <v>417</v>
      </c>
    </row>
    <row r="1030" spans="1:19" x14ac:dyDescent="0.25">
      <c r="A1030" s="9" t="s">
        <v>843</v>
      </c>
      <c r="B1030" s="9" t="s">
        <v>291</v>
      </c>
      <c r="C1030" s="4">
        <v>201004501</v>
      </c>
      <c r="D1030" s="4" t="s">
        <v>316</v>
      </c>
      <c r="E1030" s="4" t="str">
        <f>"089082010"</f>
        <v>089082010</v>
      </c>
      <c r="F1030" s="10">
        <v>40366</v>
      </c>
      <c r="G1030" s="11">
        <v>13659.23</v>
      </c>
      <c r="H1030" s="11">
        <v>0</v>
      </c>
      <c r="I1030" s="4"/>
      <c r="J1030" s="4"/>
      <c r="K1030" s="11">
        <v>0</v>
      </c>
      <c r="L1030" s="4"/>
      <c r="M1030" s="4"/>
      <c r="N1030" s="11">
        <v>0</v>
      </c>
      <c r="O1030" s="4"/>
      <c r="P1030" s="4"/>
      <c r="Q1030" s="11">
        <v>13659.23</v>
      </c>
      <c r="R1030" s="4" t="s">
        <v>317</v>
      </c>
      <c r="S1030" s="12" t="s">
        <v>318</v>
      </c>
    </row>
    <row r="1031" spans="1:19" x14ac:dyDescent="0.25">
      <c r="A1031" s="9" t="s">
        <v>843</v>
      </c>
      <c r="B1031" s="9" t="s">
        <v>291</v>
      </c>
      <c r="C1031" s="4">
        <v>201004504</v>
      </c>
      <c r="D1031" s="4" t="s">
        <v>854</v>
      </c>
      <c r="E1031" s="4" t="str">
        <f>"089222010"</f>
        <v>089222010</v>
      </c>
      <c r="F1031" s="10">
        <v>40366</v>
      </c>
      <c r="G1031" s="11">
        <v>13659.23</v>
      </c>
      <c r="H1031" s="11">
        <v>0</v>
      </c>
      <c r="I1031" s="4"/>
      <c r="J1031" s="4"/>
      <c r="K1031" s="11">
        <v>0</v>
      </c>
      <c r="L1031" s="4"/>
      <c r="M1031" s="4"/>
      <c r="N1031" s="11">
        <v>0</v>
      </c>
      <c r="O1031" s="4"/>
      <c r="P1031" s="4"/>
      <c r="Q1031" s="11">
        <v>13659.23</v>
      </c>
      <c r="R1031" s="4" t="s">
        <v>317</v>
      </c>
      <c r="S1031" s="12" t="s">
        <v>318</v>
      </c>
    </row>
    <row r="1032" spans="1:19" x14ac:dyDescent="0.25">
      <c r="A1032" s="9" t="s">
        <v>843</v>
      </c>
      <c r="B1032" s="9" t="s">
        <v>291</v>
      </c>
      <c r="C1032" s="4">
        <v>201004509</v>
      </c>
      <c r="D1032" s="4" t="s">
        <v>855</v>
      </c>
      <c r="E1032" s="4" t="str">
        <f>"089062010"</f>
        <v>089062010</v>
      </c>
      <c r="F1032" s="10">
        <v>40365</v>
      </c>
      <c r="G1032" s="11">
        <v>13659.23</v>
      </c>
      <c r="H1032" s="11">
        <v>0</v>
      </c>
      <c r="I1032" s="4"/>
      <c r="J1032" s="4"/>
      <c r="K1032" s="11">
        <v>0</v>
      </c>
      <c r="L1032" s="4"/>
      <c r="M1032" s="4"/>
      <c r="N1032" s="11">
        <v>0</v>
      </c>
      <c r="O1032" s="4"/>
      <c r="P1032" s="4"/>
      <c r="Q1032" s="11">
        <v>13659.23</v>
      </c>
      <c r="R1032" s="4" t="s">
        <v>317</v>
      </c>
      <c r="S1032" s="12" t="s">
        <v>318</v>
      </c>
    </row>
    <row r="1033" spans="1:19" x14ac:dyDescent="0.25">
      <c r="A1033" s="9" t="s">
        <v>843</v>
      </c>
      <c r="B1033" s="9" t="s">
        <v>291</v>
      </c>
      <c r="C1033" s="4">
        <v>201004516</v>
      </c>
      <c r="D1033" s="4" t="s">
        <v>856</v>
      </c>
      <c r="E1033" s="4" t="str">
        <f>"090962010"</f>
        <v>090962010</v>
      </c>
      <c r="F1033" s="10">
        <v>40366</v>
      </c>
      <c r="G1033" s="11">
        <v>13659.23</v>
      </c>
      <c r="H1033" s="11">
        <v>0</v>
      </c>
      <c r="I1033" s="4"/>
      <c r="J1033" s="4"/>
      <c r="K1033" s="11">
        <v>0</v>
      </c>
      <c r="L1033" s="4"/>
      <c r="M1033" s="4"/>
      <c r="N1033" s="11">
        <v>0</v>
      </c>
      <c r="O1033" s="4"/>
      <c r="P1033" s="4"/>
      <c r="Q1033" s="11">
        <v>13659.23</v>
      </c>
      <c r="R1033" s="4" t="s">
        <v>317</v>
      </c>
      <c r="S1033" s="12" t="s">
        <v>318</v>
      </c>
    </row>
    <row r="1034" spans="1:19" x14ac:dyDescent="0.25">
      <c r="A1034" s="9" t="s">
        <v>843</v>
      </c>
      <c r="B1034" s="9" t="s">
        <v>291</v>
      </c>
      <c r="C1034" s="4">
        <v>201004525</v>
      </c>
      <c r="D1034" s="4" t="s">
        <v>322</v>
      </c>
      <c r="E1034" s="4" t="str">
        <f>"089122010"</f>
        <v>089122010</v>
      </c>
      <c r="F1034" s="10">
        <v>40365</v>
      </c>
      <c r="G1034" s="11">
        <v>13659.23</v>
      </c>
      <c r="H1034" s="11">
        <v>0</v>
      </c>
      <c r="I1034" s="4"/>
      <c r="J1034" s="4"/>
      <c r="K1034" s="11">
        <v>0</v>
      </c>
      <c r="L1034" s="4"/>
      <c r="M1034" s="4"/>
      <c r="N1034" s="11">
        <v>0</v>
      </c>
      <c r="O1034" s="4"/>
      <c r="P1034" s="4"/>
      <c r="Q1034" s="11">
        <v>13659.23</v>
      </c>
      <c r="R1034" s="4" t="s">
        <v>317</v>
      </c>
      <c r="S1034" s="12" t="s">
        <v>318</v>
      </c>
    </row>
    <row r="1035" spans="1:19" x14ac:dyDescent="0.25">
      <c r="A1035" s="9" t="s">
        <v>843</v>
      </c>
      <c r="B1035" s="9" t="s">
        <v>291</v>
      </c>
      <c r="C1035" s="4">
        <v>201004561</v>
      </c>
      <c r="D1035" s="4" t="s">
        <v>860</v>
      </c>
      <c r="E1035" s="4" t="str">
        <f>"093122010"</f>
        <v>093122010</v>
      </c>
      <c r="F1035" s="10">
        <v>40372</v>
      </c>
      <c r="G1035" s="11">
        <v>2731.85</v>
      </c>
      <c r="H1035" s="11">
        <v>0</v>
      </c>
      <c r="I1035" s="4"/>
      <c r="J1035" s="4"/>
      <c r="K1035" s="11">
        <v>0</v>
      </c>
      <c r="L1035" s="4"/>
      <c r="M1035" s="4"/>
      <c r="N1035" s="11">
        <v>0</v>
      </c>
      <c r="O1035" s="4"/>
      <c r="P1035" s="4"/>
      <c r="Q1035" s="11">
        <v>2731.85</v>
      </c>
      <c r="R1035" s="4" t="s">
        <v>317</v>
      </c>
      <c r="S1035" s="12" t="s">
        <v>318</v>
      </c>
    </row>
    <row r="1036" spans="1:19" x14ac:dyDescent="0.25">
      <c r="A1036" s="9" t="s">
        <v>843</v>
      </c>
      <c r="B1036" s="9" t="s">
        <v>291</v>
      </c>
      <c r="C1036" s="4">
        <v>201004564</v>
      </c>
      <c r="D1036" s="4" t="s">
        <v>854</v>
      </c>
      <c r="E1036" s="4" t="str">
        <f>"101312010"</f>
        <v>101312010</v>
      </c>
      <c r="F1036" s="10">
        <v>40407</v>
      </c>
      <c r="G1036" s="11">
        <v>57368.73</v>
      </c>
      <c r="H1036" s="11">
        <v>0</v>
      </c>
      <c r="I1036" s="4"/>
      <c r="J1036" s="4"/>
      <c r="K1036" s="11">
        <v>0</v>
      </c>
      <c r="L1036" s="4"/>
      <c r="M1036" s="4"/>
      <c r="N1036" s="11">
        <v>0</v>
      </c>
      <c r="O1036" s="4"/>
      <c r="P1036" s="4"/>
      <c r="Q1036" s="11">
        <v>57368.73</v>
      </c>
      <c r="R1036" s="4" t="s">
        <v>317</v>
      </c>
      <c r="S1036" s="12" t="s">
        <v>318</v>
      </c>
    </row>
    <row r="1037" spans="1:19" x14ac:dyDescent="0.25">
      <c r="A1037" s="9" t="s">
        <v>843</v>
      </c>
      <c r="B1037" s="9" t="s">
        <v>291</v>
      </c>
      <c r="C1037" s="4">
        <v>201004566</v>
      </c>
      <c r="D1037" s="4" t="s">
        <v>855</v>
      </c>
      <c r="E1037" s="4" t="str">
        <f>"095562010"</f>
        <v>095562010</v>
      </c>
      <c r="F1037" s="10">
        <v>40386</v>
      </c>
      <c r="G1037" s="11">
        <v>1529832.91</v>
      </c>
      <c r="H1037" s="11">
        <v>0</v>
      </c>
      <c r="I1037" s="4"/>
      <c r="J1037" s="4"/>
      <c r="K1037" s="11">
        <v>0</v>
      </c>
      <c r="L1037" s="4"/>
      <c r="M1037" s="4"/>
      <c r="N1037" s="11">
        <v>0</v>
      </c>
      <c r="O1037" s="4"/>
      <c r="P1037" s="4"/>
      <c r="Q1037" s="11">
        <v>1529832.91</v>
      </c>
      <c r="R1037" s="4" t="s">
        <v>317</v>
      </c>
      <c r="S1037" s="12" t="s">
        <v>318</v>
      </c>
    </row>
    <row r="1038" spans="1:19" x14ac:dyDescent="0.25">
      <c r="A1038" s="9" t="s">
        <v>843</v>
      </c>
      <c r="B1038" s="9" t="s">
        <v>291</v>
      </c>
      <c r="C1038" s="4">
        <v>201004568</v>
      </c>
      <c r="D1038" s="4" t="s">
        <v>854</v>
      </c>
      <c r="E1038" s="4" t="str">
        <f>"097732010"</f>
        <v>097732010</v>
      </c>
      <c r="F1038" s="10">
        <v>40388</v>
      </c>
      <c r="G1038" s="11">
        <v>1584469.81</v>
      </c>
      <c r="H1038" s="11">
        <v>0</v>
      </c>
      <c r="I1038" s="4"/>
      <c r="J1038" s="4"/>
      <c r="K1038" s="11">
        <v>0</v>
      </c>
      <c r="L1038" s="4"/>
      <c r="M1038" s="4"/>
      <c r="N1038" s="11">
        <v>0</v>
      </c>
      <c r="O1038" s="4"/>
      <c r="P1038" s="4"/>
      <c r="Q1038" s="11">
        <v>1584469.81</v>
      </c>
      <c r="R1038" s="4" t="s">
        <v>317</v>
      </c>
      <c r="S1038" s="12" t="s">
        <v>318</v>
      </c>
    </row>
    <row r="1039" spans="1:19" x14ac:dyDescent="0.25">
      <c r="A1039" s="9" t="s">
        <v>843</v>
      </c>
      <c r="B1039" s="9" t="s">
        <v>291</v>
      </c>
      <c r="C1039" s="4">
        <v>201004569</v>
      </c>
      <c r="D1039" s="4" t="s">
        <v>861</v>
      </c>
      <c r="E1039" s="4" t="str">
        <f>"095542010"</f>
        <v>095542010</v>
      </c>
      <c r="F1039" s="10">
        <v>40386</v>
      </c>
      <c r="G1039" s="11">
        <v>1420559.15</v>
      </c>
      <c r="H1039" s="11">
        <v>0</v>
      </c>
      <c r="I1039" s="4"/>
      <c r="J1039" s="4"/>
      <c r="K1039" s="11">
        <v>0</v>
      </c>
      <c r="L1039" s="4"/>
      <c r="M1039" s="4"/>
      <c r="N1039" s="11">
        <v>0</v>
      </c>
      <c r="O1039" s="4"/>
      <c r="P1039" s="4"/>
      <c r="Q1039" s="11">
        <v>1420559.15</v>
      </c>
      <c r="R1039" s="4" t="s">
        <v>317</v>
      </c>
      <c r="S1039" s="12" t="s">
        <v>318</v>
      </c>
    </row>
    <row r="1040" spans="1:19" x14ac:dyDescent="0.25">
      <c r="A1040" s="9" t="s">
        <v>843</v>
      </c>
      <c r="B1040" s="9" t="s">
        <v>291</v>
      </c>
      <c r="C1040" s="4">
        <v>201004570</v>
      </c>
      <c r="D1040" s="4" t="s">
        <v>855</v>
      </c>
      <c r="E1040" s="4" t="str">
        <f>"093942010"</f>
        <v>093942010</v>
      </c>
      <c r="F1040" s="10">
        <v>40378</v>
      </c>
      <c r="G1040" s="11">
        <v>2731.85</v>
      </c>
      <c r="H1040" s="11">
        <v>0</v>
      </c>
      <c r="I1040" s="4"/>
      <c r="J1040" s="4"/>
      <c r="K1040" s="11">
        <v>0</v>
      </c>
      <c r="L1040" s="4"/>
      <c r="M1040" s="4"/>
      <c r="N1040" s="11">
        <v>0</v>
      </c>
      <c r="O1040" s="4"/>
      <c r="P1040" s="4"/>
      <c r="Q1040" s="11">
        <v>2731.85</v>
      </c>
      <c r="R1040" s="4" t="s">
        <v>317</v>
      </c>
      <c r="S1040" s="12" t="s">
        <v>318</v>
      </c>
    </row>
    <row r="1041" spans="1:19" x14ac:dyDescent="0.25">
      <c r="A1041" s="9" t="s">
        <v>843</v>
      </c>
      <c r="B1041" s="9" t="s">
        <v>291</v>
      </c>
      <c r="C1041" s="4">
        <v>201004585</v>
      </c>
      <c r="D1041" s="4" t="s">
        <v>322</v>
      </c>
      <c r="E1041" s="4" t="str">
        <f>"093082010"</f>
        <v>093082010</v>
      </c>
      <c r="F1041" s="10">
        <v>40372</v>
      </c>
      <c r="G1041" s="11">
        <v>57368.73</v>
      </c>
      <c r="H1041" s="11">
        <v>0</v>
      </c>
      <c r="I1041" s="4"/>
      <c r="J1041" s="4"/>
      <c r="K1041" s="11">
        <v>0</v>
      </c>
      <c r="L1041" s="4"/>
      <c r="M1041" s="4"/>
      <c r="N1041" s="11">
        <v>0</v>
      </c>
      <c r="O1041" s="4"/>
      <c r="P1041" s="4"/>
      <c r="Q1041" s="11">
        <v>57368.73</v>
      </c>
      <c r="R1041" s="4" t="s">
        <v>317</v>
      </c>
      <c r="S1041" s="12" t="s">
        <v>318</v>
      </c>
    </row>
    <row r="1042" spans="1:19" x14ac:dyDescent="0.25">
      <c r="A1042" s="9" t="s">
        <v>843</v>
      </c>
      <c r="B1042" s="9" t="s">
        <v>291</v>
      </c>
      <c r="C1042" s="4">
        <v>201004600</v>
      </c>
      <c r="D1042" s="4" t="s">
        <v>322</v>
      </c>
      <c r="E1042" s="4" t="str">
        <f>"091482010"</f>
        <v>091482010</v>
      </c>
      <c r="F1042" s="10">
        <v>40367</v>
      </c>
      <c r="G1042" s="11">
        <v>13659.23</v>
      </c>
      <c r="H1042" s="11">
        <v>0</v>
      </c>
      <c r="I1042" s="4"/>
      <c r="J1042" s="4"/>
      <c r="K1042" s="11">
        <v>0</v>
      </c>
      <c r="L1042" s="4"/>
      <c r="M1042" s="4"/>
      <c r="N1042" s="11">
        <v>0</v>
      </c>
      <c r="O1042" s="4"/>
      <c r="P1042" s="4"/>
      <c r="Q1042" s="11">
        <v>13659.23</v>
      </c>
      <c r="R1042" s="4" t="s">
        <v>317</v>
      </c>
      <c r="S1042" s="12" t="s">
        <v>318</v>
      </c>
    </row>
    <row r="1043" spans="1:19" x14ac:dyDescent="0.25">
      <c r="A1043" s="9" t="s">
        <v>843</v>
      </c>
      <c r="B1043" s="9" t="s">
        <v>291</v>
      </c>
      <c r="C1043" s="4">
        <v>201004602</v>
      </c>
      <c r="D1043" s="4" t="s">
        <v>854</v>
      </c>
      <c r="E1043" s="4" t="str">
        <f>"091522010"</f>
        <v>091522010</v>
      </c>
      <c r="F1043" s="10">
        <v>40368</v>
      </c>
      <c r="G1043" s="11">
        <v>13659.23</v>
      </c>
      <c r="H1043" s="11">
        <v>0</v>
      </c>
      <c r="I1043" s="4"/>
      <c r="J1043" s="4"/>
      <c r="K1043" s="11">
        <v>0</v>
      </c>
      <c r="L1043" s="4"/>
      <c r="M1043" s="4"/>
      <c r="N1043" s="11">
        <v>0</v>
      </c>
      <c r="O1043" s="4"/>
      <c r="P1043" s="4"/>
      <c r="Q1043" s="11">
        <v>13659.23</v>
      </c>
      <c r="R1043" s="4" t="s">
        <v>317</v>
      </c>
      <c r="S1043" s="12" t="s">
        <v>318</v>
      </c>
    </row>
    <row r="1044" spans="1:19" x14ac:dyDescent="0.25">
      <c r="A1044" s="9" t="s">
        <v>843</v>
      </c>
      <c r="B1044" s="9" t="s">
        <v>291</v>
      </c>
      <c r="C1044" s="4">
        <v>201004604</v>
      </c>
      <c r="D1044" s="4" t="s">
        <v>322</v>
      </c>
      <c r="E1044" s="4" t="str">
        <f>"091502010"</f>
        <v>091502010</v>
      </c>
      <c r="F1044" s="10">
        <v>40367</v>
      </c>
      <c r="G1044" s="11">
        <v>13659.23</v>
      </c>
      <c r="H1044" s="11">
        <v>0</v>
      </c>
      <c r="I1044" s="4"/>
      <c r="J1044" s="4"/>
      <c r="K1044" s="11">
        <v>0</v>
      </c>
      <c r="L1044" s="4"/>
      <c r="M1044" s="4"/>
      <c r="N1044" s="11">
        <v>0</v>
      </c>
      <c r="O1044" s="4"/>
      <c r="P1044" s="4"/>
      <c r="Q1044" s="11">
        <v>13659.23</v>
      </c>
      <c r="R1044" s="4" t="s">
        <v>317</v>
      </c>
      <c r="S1044" s="12" t="s">
        <v>318</v>
      </c>
    </row>
    <row r="1045" spans="1:19" x14ac:dyDescent="0.25">
      <c r="A1045" s="9" t="s">
        <v>843</v>
      </c>
      <c r="B1045" s="9" t="s">
        <v>291</v>
      </c>
      <c r="C1045" s="4">
        <v>201005229</v>
      </c>
      <c r="D1045" s="4" t="s">
        <v>862</v>
      </c>
      <c r="E1045" s="4" t="str">
        <f>"107892010"</f>
        <v>107892010</v>
      </c>
      <c r="F1045" s="10">
        <v>40423</v>
      </c>
      <c r="G1045" s="11">
        <v>50000</v>
      </c>
      <c r="H1045" s="11">
        <v>50000</v>
      </c>
      <c r="I1045" s="4" t="s">
        <v>23</v>
      </c>
      <c r="J1045" s="4" t="s">
        <v>24</v>
      </c>
      <c r="K1045" s="11">
        <v>0</v>
      </c>
      <c r="L1045" s="4"/>
      <c r="M1045" s="4"/>
      <c r="N1045" s="11">
        <v>0</v>
      </c>
      <c r="O1045" s="4"/>
      <c r="P1045" s="4"/>
      <c r="Q1045" s="11">
        <v>0</v>
      </c>
      <c r="R1045" s="4"/>
      <c r="S1045" s="12"/>
    </row>
    <row r="1046" spans="1:19" x14ac:dyDescent="0.25">
      <c r="A1046" s="9" t="s">
        <v>843</v>
      </c>
      <c r="B1046" s="9" t="s">
        <v>291</v>
      </c>
      <c r="C1046" s="4">
        <v>201005600</v>
      </c>
      <c r="D1046" s="4" t="s">
        <v>863</v>
      </c>
      <c r="E1046" s="4" t="str">
        <f>"112602010"</f>
        <v>112602010</v>
      </c>
      <c r="F1046" s="10">
        <v>40443</v>
      </c>
      <c r="G1046" s="11">
        <v>45000</v>
      </c>
      <c r="H1046" s="11">
        <v>45000</v>
      </c>
      <c r="I1046" s="4" t="s">
        <v>23</v>
      </c>
      <c r="J1046" s="4" t="s">
        <v>24</v>
      </c>
      <c r="K1046" s="11">
        <v>0</v>
      </c>
      <c r="L1046" s="4"/>
      <c r="M1046" s="4"/>
      <c r="N1046" s="11">
        <v>0</v>
      </c>
      <c r="O1046" s="4"/>
      <c r="P1046" s="4"/>
      <c r="Q1046" s="11">
        <v>0</v>
      </c>
      <c r="R1046" s="4"/>
      <c r="S1046" s="12"/>
    </row>
    <row r="1047" spans="1:19" x14ac:dyDescent="0.25">
      <c r="A1047" s="9" t="s">
        <v>843</v>
      </c>
      <c r="B1047" s="9" t="s">
        <v>291</v>
      </c>
      <c r="C1047" s="4">
        <v>201005699</v>
      </c>
      <c r="D1047" s="4" t="s">
        <v>864</v>
      </c>
      <c r="E1047" s="4" t="str">
        <f>"115492010"</f>
        <v>115492010</v>
      </c>
      <c r="F1047" s="10">
        <v>40450</v>
      </c>
      <c r="G1047" s="11">
        <v>2000</v>
      </c>
      <c r="H1047" s="11">
        <v>2000</v>
      </c>
      <c r="I1047" s="4" t="s">
        <v>23</v>
      </c>
      <c r="J1047" s="4" t="s">
        <v>24</v>
      </c>
      <c r="K1047" s="11">
        <v>0</v>
      </c>
      <c r="L1047" s="4"/>
      <c r="M1047" s="4"/>
      <c r="N1047" s="11">
        <v>0</v>
      </c>
      <c r="O1047" s="4"/>
      <c r="P1047" s="4"/>
      <c r="Q1047" s="11">
        <v>0</v>
      </c>
      <c r="R1047" s="4"/>
      <c r="S1047" s="12"/>
    </row>
    <row r="1048" spans="1:19" x14ac:dyDescent="0.25">
      <c r="A1048" s="9" t="s">
        <v>865</v>
      </c>
      <c r="B1048" s="9" t="s">
        <v>291</v>
      </c>
      <c r="C1048" s="4">
        <v>201002630</v>
      </c>
      <c r="D1048" s="4" t="s">
        <v>866</v>
      </c>
      <c r="E1048" s="4" t="str">
        <f>"052862010"</f>
        <v>052862010</v>
      </c>
      <c r="F1048" s="10">
        <v>40276</v>
      </c>
      <c r="G1048" s="11">
        <v>5500</v>
      </c>
      <c r="H1048" s="11">
        <v>5500</v>
      </c>
      <c r="I1048" s="4" t="s">
        <v>23</v>
      </c>
      <c r="J1048" s="4" t="s">
        <v>24</v>
      </c>
      <c r="K1048" s="11">
        <v>0</v>
      </c>
      <c r="L1048" s="4"/>
      <c r="M1048" s="4"/>
      <c r="N1048" s="11">
        <v>0</v>
      </c>
      <c r="O1048" s="4"/>
      <c r="P1048" s="4"/>
      <c r="Q1048" s="11">
        <v>0</v>
      </c>
      <c r="R1048" s="4"/>
      <c r="S1048" s="12"/>
    </row>
    <row r="1049" spans="1:19" x14ac:dyDescent="0.25">
      <c r="A1049" s="9" t="s">
        <v>867</v>
      </c>
      <c r="B1049" s="9" t="s">
        <v>291</v>
      </c>
      <c r="C1049" s="4">
        <v>200905459</v>
      </c>
      <c r="D1049" s="4"/>
      <c r="E1049" s="4" t="str">
        <f>"080942009"</f>
        <v>080942009</v>
      </c>
      <c r="F1049" s="10">
        <v>40087</v>
      </c>
      <c r="G1049" s="11">
        <v>47480.74</v>
      </c>
      <c r="H1049" s="11">
        <v>47480.74</v>
      </c>
      <c r="I1049" s="4" t="s">
        <v>142</v>
      </c>
      <c r="J1049" s="4" t="s">
        <v>143</v>
      </c>
      <c r="K1049" s="11">
        <v>0</v>
      </c>
      <c r="L1049" s="4"/>
      <c r="M1049" s="4"/>
      <c r="N1049" s="11">
        <v>0</v>
      </c>
      <c r="O1049" s="4"/>
      <c r="P1049" s="4"/>
      <c r="Q1049" s="11">
        <v>0</v>
      </c>
      <c r="R1049" s="4"/>
      <c r="S1049" s="12"/>
    </row>
    <row r="1050" spans="1:19" x14ac:dyDescent="0.25">
      <c r="A1050" s="9" t="s">
        <v>867</v>
      </c>
      <c r="B1050" s="9" t="s">
        <v>291</v>
      </c>
      <c r="C1050" s="4">
        <v>201001814</v>
      </c>
      <c r="D1050" s="4"/>
      <c r="E1050" s="4" t="str">
        <f>"037972010"</f>
        <v>037972010</v>
      </c>
      <c r="F1050" s="10">
        <v>40226</v>
      </c>
      <c r="G1050" s="11">
        <v>4200000</v>
      </c>
      <c r="H1050" s="11">
        <v>4200000</v>
      </c>
      <c r="I1050" s="4" t="s">
        <v>142</v>
      </c>
      <c r="J1050" s="4" t="s">
        <v>143</v>
      </c>
      <c r="K1050" s="11">
        <v>0</v>
      </c>
      <c r="L1050" s="4"/>
      <c r="M1050" s="4"/>
      <c r="N1050" s="11">
        <v>0</v>
      </c>
      <c r="O1050" s="4"/>
      <c r="P1050" s="4"/>
      <c r="Q1050" s="11">
        <v>0</v>
      </c>
      <c r="R1050" s="4"/>
      <c r="S1050" s="12"/>
    </row>
    <row r="1051" spans="1:19" x14ac:dyDescent="0.25">
      <c r="A1051" s="9" t="s">
        <v>867</v>
      </c>
      <c r="B1051" s="9" t="s">
        <v>291</v>
      </c>
      <c r="C1051" s="4">
        <v>201005613</v>
      </c>
      <c r="D1051" s="4"/>
      <c r="E1051" s="4" t="str">
        <f>"113902010"</f>
        <v>113902010</v>
      </c>
      <c r="F1051" s="10">
        <v>40449</v>
      </c>
      <c r="G1051" s="11">
        <v>632800.79</v>
      </c>
      <c r="H1051" s="11">
        <v>632800.79</v>
      </c>
      <c r="I1051" s="4" t="s">
        <v>98</v>
      </c>
      <c r="J1051" s="4" t="s">
        <v>99</v>
      </c>
      <c r="K1051" s="11">
        <v>0</v>
      </c>
      <c r="L1051" s="4"/>
      <c r="M1051" s="4"/>
      <c r="N1051" s="11">
        <v>0</v>
      </c>
      <c r="O1051" s="4"/>
      <c r="P1051" s="4"/>
      <c r="Q1051" s="11">
        <v>0</v>
      </c>
      <c r="R1051" s="4"/>
      <c r="S1051" s="12"/>
    </row>
    <row r="1052" spans="1:19" x14ac:dyDescent="0.25">
      <c r="A1052" s="9" t="s">
        <v>868</v>
      </c>
      <c r="B1052" s="9" t="s">
        <v>291</v>
      </c>
      <c r="C1052" s="4">
        <v>201000650</v>
      </c>
      <c r="D1052" s="4" t="s">
        <v>869</v>
      </c>
      <c r="E1052" s="4" t="str">
        <f>"012172010"</f>
        <v>012172010</v>
      </c>
      <c r="F1052" s="10">
        <v>40134</v>
      </c>
      <c r="G1052" s="11">
        <v>45000</v>
      </c>
      <c r="H1052" s="11">
        <v>45000</v>
      </c>
      <c r="I1052" s="4" t="s">
        <v>23</v>
      </c>
      <c r="J1052" s="4" t="s">
        <v>24</v>
      </c>
      <c r="K1052" s="11">
        <v>0</v>
      </c>
      <c r="L1052" s="4"/>
      <c r="M1052" s="4"/>
      <c r="N1052" s="11">
        <v>0</v>
      </c>
      <c r="O1052" s="4"/>
      <c r="P1052" s="4"/>
      <c r="Q1052" s="11">
        <v>0</v>
      </c>
      <c r="R1052" s="4"/>
      <c r="S1052" s="12"/>
    </row>
    <row r="1053" spans="1:19" x14ac:dyDescent="0.25">
      <c r="A1053" s="9" t="s">
        <v>870</v>
      </c>
      <c r="B1053" s="9" t="s">
        <v>291</v>
      </c>
      <c r="C1053" s="4">
        <v>201002357</v>
      </c>
      <c r="D1053" s="4" t="s">
        <v>871</v>
      </c>
      <c r="E1053" s="4" t="str">
        <f>"049642010"</f>
        <v>049642010</v>
      </c>
      <c r="F1053" s="10">
        <v>40262</v>
      </c>
      <c r="G1053" s="11">
        <v>1358.5</v>
      </c>
      <c r="H1053" s="11">
        <v>0</v>
      </c>
      <c r="I1053" s="4"/>
      <c r="J1053" s="4"/>
      <c r="K1053" s="11">
        <v>0</v>
      </c>
      <c r="L1053" s="4"/>
      <c r="M1053" s="4"/>
      <c r="N1053" s="11">
        <v>1358.5</v>
      </c>
      <c r="O1053" s="4" t="s">
        <v>56</v>
      </c>
      <c r="P1053" s="4" t="s">
        <v>57</v>
      </c>
      <c r="Q1053" s="11">
        <v>0</v>
      </c>
      <c r="R1053" s="4"/>
      <c r="S1053" s="12"/>
    </row>
    <row r="1054" spans="1:19" x14ac:dyDescent="0.25">
      <c r="A1054" s="9" t="s">
        <v>872</v>
      </c>
      <c r="B1054" s="9" t="s">
        <v>291</v>
      </c>
      <c r="C1054" s="4">
        <v>201000075</v>
      </c>
      <c r="D1054" s="4" t="s">
        <v>873</v>
      </c>
      <c r="E1054" s="4" t="str">
        <f>"001182010"</f>
        <v>001182010</v>
      </c>
      <c r="F1054" s="10">
        <v>40094</v>
      </c>
      <c r="G1054" s="11">
        <v>17463</v>
      </c>
      <c r="H1054" s="11">
        <v>17463</v>
      </c>
      <c r="I1054" s="4" t="s">
        <v>23</v>
      </c>
      <c r="J1054" s="4" t="s">
        <v>24</v>
      </c>
      <c r="K1054" s="11">
        <v>0</v>
      </c>
      <c r="L1054" s="4"/>
      <c r="M1054" s="4"/>
      <c r="N1054" s="11">
        <v>0</v>
      </c>
      <c r="O1054" s="4"/>
      <c r="P1054" s="4"/>
      <c r="Q1054" s="11">
        <v>0</v>
      </c>
      <c r="R1054" s="4"/>
      <c r="S1054" s="12"/>
    </row>
    <row r="1055" spans="1:19" x14ac:dyDescent="0.25">
      <c r="A1055" s="9" t="s">
        <v>872</v>
      </c>
      <c r="B1055" s="9" t="s">
        <v>291</v>
      </c>
      <c r="C1055" s="4">
        <v>201000075</v>
      </c>
      <c r="D1055" s="4" t="s">
        <v>873</v>
      </c>
      <c r="E1055" s="4" t="str">
        <f>"001202010"</f>
        <v>001202010</v>
      </c>
      <c r="F1055" s="10">
        <v>40094</v>
      </c>
      <c r="G1055" s="11">
        <v>2000</v>
      </c>
      <c r="H1055" s="11">
        <v>2000</v>
      </c>
      <c r="I1055" s="4" t="s">
        <v>23</v>
      </c>
      <c r="J1055" s="4" t="s">
        <v>24</v>
      </c>
      <c r="K1055" s="11">
        <v>0</v>
      </c>
      <c r="L1055" s="4"/>
      <c r="M1055" s="4"/>
      <c r="N1055" s="11">
        <v>0</v>
      </c>
      <c r="O1055" s="4"/>
      <c r="P1055" s="4"/>
      <c r="Q1055" s="11">
        <v>0</v>
      </c>
      <c r="R1055" s="4"/>
      <c r="S1055" s="12"/>
    </row>
    <row r="1056" spans="1:19" x14ac:dyDescent="0.25">
      <c r="A1056" s="9" t="s">
        <v>872</v>
      </c>
      <c r="B1056" s="9" t="s">
        <v>291</v>
      </c>
      <c r="C1056" s="4">
        <v>201000228</v>
      </c>
      <c r="D1056" s="4" t="s">
        <v>874</v>
      </c>
      <c r="E1056" s="4" t="str">
        <f>"004022010"</f>
        <v>004022010</v>
      </c>
      <c r="F1056" s="10">
        <v>40102</v>
      </c>
      <c r="G1056" s="11">
        <v>50000</v>
      </c>
      <c r="H1056" s="11">
        <v>50000</v>
      </c>
      <c r="I1056" s="4" t="s">
        <v>23</v>
      </c>
      <c r="J1056" s="4" t="s">
        <v>24</v>
      </c>
      <c r="K1056" s="11">
        <v>0</v>
      </c>
      <c r="L1056" s="4"/>
      <c r="M1056" s="4"/>
      <c r="N1056" s="11">
        <v>0</v>
      </c>
      <c r="O1056" s="4"/>
      <c r="P1056" s="4"/>
      <c r="Q1056" s="11">
        <v>0</v>
      </c>
      <c r="R1056" s="4"/>
      <c r="S1056" s="12"/>
    </row>
    <row r="1057" spans="1:19" x14ac:dyDescent="0.25">
      <c r="A1057" s="9" t="s">
        <v>872</v>
      </c>
      <c r="B1057" s="9" t="s">
        <v>291</v>
      </c>
      <c r="C1057" s="4">
        <v>201000608</v>
      </c>
      <c r="D1057" s="4" t="s">
        <v>875</v>
      </c>
      <c r="E1057" s="4" t="str">
        <f>"012552010"</f>
        <v>012552010</v>
      </c>
      <c r="F1057" s="10">
        <v>40134</v>
      </c>
      <c r="G1057" s="11">
        <v>75000</v>
      </c>
      <c r="H1057" s="11">
        <v>75000</v>
      </c>
      <c r="I1057" s="4" t="s">
        <v>30</v>
      </c>
      <c r="J1057" s="4" t="s">
        <v>31</v>
      </c>
      <c r="K1057" s="11">
        <v>0</v>
      </c>
      <c r="L1057" s="4"/>
      <c r="M1057" s="4"/>
      <c r="N1057" s="11">
        <v>0</v>
      </c>
      <c r="O1057" s="4"/>
      <c r="P1057" s="4"/>
      <c r="Q1057" s="11">
        <v>0</v>
      </c>
      <c r="R1057" s="4"/>
      <c r="S1057" s="12"/>
    </row>
    <row r="1058" spans="1:19" x14ac:dyDescent="0.25">
      <c r="A1058" s="9" t="s">
        <v>872</v>
      </c>
      <c r="B1058" s="9" t="s">
        <v>291</v>
      </c>
      <c r="C1058" s="4">
        <v>201000968</v>
      </c>
      <c r="D1058" s="4" t="s">
        <v>876</v>
      </c>
      <c r="E1058" s="4" t="str">
        <f>"018812010"</f>
        <v>018812010</v>
      </c>
      <c r="F1058" s="10">
        <v>40154</v>
      </c>
      <c r="G1058" s="11">
        <v>16350</v>
      </c>
      <c r="H1058" s="11">
        <v>16000</v>
      </c>
      <c r="I1058" s="4" t="s">
        <v>23</v>
      </c>
      <c r="J1058" s="4" t="s">
        <v>24</v>
      </c>
      <c r="K1058" s="11">
        <v>0</v>
      </c>
      <c r="L1058" s="4"/>
      <c r="M1058" s="4"/>
      <c r="N1058" s="11">
        <v>350</v>
      </c>
      <c r="O1058" s="4" t="s">
        <v>23</v>
      </c>
      <c r="P1058" s="4" t="s">
        <v>24</v>
      </c>
      <c r="Q1058" s="11">
        <v>0</v>
      </c>
      <c r="R1058" s="4"/>
      <c r="S1058" s="12"/>
    </row>
    <row r="1059" spans="1:19" x14ac:dyDescent="0.25">
      <c r="A1059" s="9" t="s">
        <v>872</v>
      </c>
      <c r="B1059" s="9" t="s">
        <v>291</v>
      </c>
      <c r="C1059" s="4">
        <v>201004878</v>
      </c>
      <c r="D1059" s="4"/>
      <c r="E1059" s="4" t="str">
        <f>"097162010"</f>
        <v>097162010</v>
      </c>
      <c r="F1059" s="10">
        <v>40394</v>
      </c>
      <c r="G1059" s="11">
        <v>2500</v>
      </c>
      <c r="H1059" s="11">
        <v>2500</v>
      </c>
      <c r="I1059" s="4" t="s">
        <v>38</v>
      </c>
      <c r="J1059" s="4" t="s">
        <v>39</v>
      </c>
      <c r="K1059" s="11">
        <v>0</v>
      </c>
      <c r="L1059" s="4"/>
      <c r="M1059" s="4"/>
      <c r="N1059" s="11">
        <v>0</v>
      </c>
      <c r="O1059" s="4"/>
      <c r="P1059" s="4"/>
      <c r="Q1059" s="11">
        <v>0</v>
      </c>
      <c r="R1059" s="4"/>
      <c r="S1059" s="12"/>
    </row>
    <row r="1060" spans="1:19" x14ac:dyDescent="0.25">
      <c r="A1060" s="9" t="s">
        <v>872</v>
      </c>
      <c r="B1060" s="9" t="s">
        <v>291</v>
      </c>
      <c r="C1060" s="4">
        <v>201005770</v>
      </c>
      <c r="D1060" s="4" t="s">
        <v>877</v>
      </c>
      <c r="E1060" s="4" t="str">
        <f>"115822010"</f>
        <v>115822010</v>
      </c>
      <c r="F1060" s="10">
        <v>40450</v>
      </c>
      <c r="G1060" s="11">
        <v>10634.32</v>
      </c>
      <c r="H1060" s="11">
        <v>10634.32</v>
      </c>
      <c r="I1060" s="4" t="s">
        <v>23</v>
      </c>
      <c r="J1060" s="4" t="s">
        <v>24</v>
      </c>
      <c r="K1060" s="11">
        <v>0</v>
      </c>
      <c r="L1060" s="4"/>
      <c r="M1060" s="4"/>
      <c r="N1060" s="11">
        <v>0</v>
      </c>
      <c r="O1060" s="4"/>
      <c r="P1060" s="4"/>
      <c r="Q1060" s="11">
        <v>0</v>
      </c>
      <c r="R1060" s="4"/>
      <c r="S1060" s="12"/>
    </row>
    <row r="1061" spans="1:19" x14ac:dyDescent="0.25">
      <c r="A1061" s="9" t="s">
        <v>872</v>
      </c>
      <c r="B1061" s="9" t="s">
        <v>291</v>
      </c>
      <c r="C1061" s="4">
        <v>201005771</v>
      </c>
      <c r="D1061" s="4" t="s">
        <v>877</v>
      </c>
      <c r="E1061" s="4" t="str">
        <f>"115802010"</f>
        <v>115802010</v>
      </c>
      <c r="F1061" s="10">
        <v>40450</v>
      </c>
      <c r="G1061" s="11">
        <v>5000</v>
      </c>
      <c r="H1061" s="11">
        <v>5000</v>
      </c>
      <c r="I1061" s="4" t="s">
        <v>23</v>
      </c>
      <c r="J1061" s="4" t="s">
        <v>24</v>
      </c>
      <c r="K1061" s="11">
        <v>0</v>
      </c>
      <c r="L1061" s="4"/>
      <c r="M1061" s="4"/>
      <c r="N1061" s="11">
        <v>0</v>
      </c>
      <c r="O1061" s="4"/>
      <c r="P1061" s="4"/>
      <c r="Q1061" s="11">
        <v>0</v>
      </c>
      <c r="R1061" s="4"/>
      <c r="S1061" s="12"/>
    </row>
    <row r="1062" spans="1:19" x14ac:dyDescent="0.25">
      <c r="A1062" s="9" t="s">
        <v>878</v>
      </c>
      <c r="B1062" s="9" t="s">
        <v>291</v>
      </c>
      <c r="C1062" s="4">
        <v>200904320</v>
      </c>
      <c r="D1062" s="4" t="s">
        <v>2534</v>
      </c>
      <c r="E1062" s="4" t="str">
        <f>"088192009"</f>
        <v>088192009</v>
      </c>
      <c r="F1062" s="10">
        <v>40112</v>
      </c>
      <c r="G1062" s="11">
        <v>3010.5</v>
      </c>
      <c r="H1062" s="11">
        <v>0</v>
      </c>
      <c r="I1062" s="4"/>
      <c r="J1062" s="4"/>
      <c r="K1062" s="11">
        <v>3010.5</v>
      </c>
      <c r="L1062" s="4" t="s">
        <v>234</v>
      </c>
      <c r="M1062" s="4" t="s">
        <v>235</v>
      </c>
      <c r="N1062" s="11">
        <v>0</v>
      </c>
      <c r="O1062" s="4"/>
      <c r="P1062" s="4"/>
      <c r="Q1062" s="11">
        <v>0</v>
      </c>
      <c r="R1062" s="4"/>
      <c r="S1062" s="12"/>
    </row>
    <row r="1063" spans="1:19" x14ac:dyDescent="0.25">
      <c r="A1063" s="9" t="s">
        <v>878</v>
      </c>
      <c r="B1063" s="9" t="s">
        <v>291</v>
      </c>
      <c r="C1063" s="4">
        <v>201000153</v>
      </c>
      <c r="D1063" s="4" t="s">
        <v>2534</v>
      </c>
      <c r="E1063" s="4" t="str">
        <f>"002502010"</f>
        <v>002502010</v>
      </c>
      <c r="F1063" s="10">
        <v>40095</v>
      </c>
      <c r="G1063" s="11">
        <v>7700</v>
      </c>
      <c r="H1063" s="11">
        <v>0</v>
      </c>
      <c r="I1063" s="4"/>
      <c r="J1063" s="4"/>
      <c r="K1063" s="11">
        <v>7700</v>
      </c>
      <c r="L1063" s="4" t="s">
        <v>234</v>
      </c>
      <c r="M1063" s="4" t="s">
        <v>235</v>
      </c>
      <c r="N1063" s="11">
        <v>0</v>
      </c>
      <c r="O1063" s="4"/>
      <c r="P1063" s="4"/>
      <c r="Q1063" s="11">
        <v>0</v>
      </c>
      <c r="R1063" s="4"/>
      <c r="S1063" s="12"/>
    </row>
    <row r="1064" spans="1:19" x14ac:dyDescent="0.25">
      <c r="A1064" s="9" t="s">
        <v>878</v>
      </c>
      <c r="B1064" s="9" t="s">
        <v>291</v>
      </c>
      <c r="C1064" s="4">
        <v>201000194</v>
      </c>
      <c r="D1064" s="4" t="s">
        <v>879</v>
      </c>
      <c r="E1064" s="4" t="str">
        <f>"003322010"</f>
        <v>003322010</v>
      </c>
      <c r="F1064" s="10">
        <v>40101</v>
      </c>
      <c r="G1064" s="11">
        <v>27000</v>
      </c>
      <c r="H1064" s="11">
        <v>0</v>
      </c>
      <c r="I1064" s="4"/>
      <c r="J1064" s="4"/>
      <c r="K1064" s="11">
        <v>27000</v>
      </c>
      <c r="L1064" s="4" t="s">
        <v>234</v>
      </c>
      <c r="M1064" s="4" t="s">
        <v>235</v>
      </c>
      <c r="N1064" s="11">
        <v>0</v>
      </c>
      <c r="O1064" s="4"/>
      <c r="P1064" s="4"/>
      <c r="Q1064" s="11">
        <v>0</v>
      </c>
      <c r="R1064" s="4"/>
      <c r="S1064" s="12"/>
    </row>
    <row r="1065" spans="1:19" x14ac:dyDescent="0.25">
      <c r="A1065" s="9" t="s">
        <v>878</v>
      </c>
      <c r="B1065" s="9" t="s">
        <v>291</v>
      </c>
      <c r="C1065" s="4">
        <v>201000250</v>
      </c>
      <c r="D1065" s="4" t="s">
        <v>880</v>
      </c>
      <c r="E1065" s="4" t="str">
        <f>"004492010"</f>
        <v>004492010</v>
      </c>
      <c r="F1065" s="10">
        <v>40105</v>
      </c>
      <c r="G1065" s="11">
        <v>125000</v>
      </c>
      <c r="H1065" s="11">
        <v>0</v>
      </c>
      <c r="I1065" s="4"/>
      <c r="J1065" s="4"/>
      <c r="K1065" s="11">
        <v>125000</v>
      </c>
      <c r="L1065" s="4" t="s">
        <v>234</v>
      </c>
      <c r="M1065" s="4" t="s">
        <v>235</v>
      </c>
      <c r="N1065" s="11">
        <v>0</v>
      </c>
      <c r="O1065" s="4"/>
      <c r="P1065" s="4"/>
      <c r="Q1065" s="11">
        <v>0</v>
      </c>
      <c r="R1065" s="4"/>
      <c r="S1065" s="12"/>
    </row>
    <row r="1066" spans="1:19" x14ac:dyDescent="0.25">
      <c r="A1066" s="9" t="s">
        <v>878</v>
      </c>
      <c r="B1066" s="9" t="s">
        <v>291</v>
      </c>
      <c r="C1066" s="4">
        <v>201000394</v>
      </c>
      <c r="D1066" s="4" t="s">
        <v>881</v>
      </c>
      <c r="E1066" s="4" t="str">
        <f>"007392010"</f>
        <v>007392010</v>
      </c>
      <c r="F1066" s="10">
        <v>40115</v>
      </c>
      <c r="G1066" s="11">
        <v>14726.25</v>
      </c>
      <c r="H1066" s="11">
        <v>14726.25</v>
      </c>
      <c r="I1066" s="4" t="s">
        <v>234</v>
      </c>
      <c r="J1066" s="4" t="s">
        <v>235</v>
      </c>
      <c r="K1066" s="11">
        <v>0</v>
      </c>
      <c r="L1066" s="4"/>
      <c r="M1066" s="4"/>
      <c r="N1066" s="11">
        <v>0</v>
      </c>
      <c r="O1066" s="4"/>
      <c r="P1066" s="4"/>
      <c r="Q1066" s="11">
        <v>0</v>
      </c>
      <c r="R1066" s="4"/>
      <c r="S1066" s="12"/>
    </row>
    <row r="1067" spans="1:19" x14ac:dyDescent="0.25">
      <c r="A1067" s="9" t="s">
        <v>878</v>
      </c>
      <c r="B1067" s="9" t="s">
        <v>291</v>
      </c>
      <c r="C1067" s="4">
        <v>201000436</v>
      </c>
      <c r="D1067" s="4"/>
      <c r="E1067" s="4" t="str">
        <f>"008352010"</f>
        <v>008352010</v>
      </c>
      <c r="F1067" s="10">
        <v>40119</v>
      </c>
      <c r="G1067" s="11">
        <v>12500</v>
      </c>
      <c r="H1067" s="11">
        <v>12500</v>
      </c>
      <c r="I1067" s="4" t="s">
        <v>234</v>
      </c>
      <c r="J1067" s="4" t="s">
        <v>235</v>
      </c>
      <c r="K1067" s="11">
        <v>0</v>
      </c>
      <c r="L1067" s="4"/>
      <c r="M1067" s="4"/>
      <c r="N1067" s="11">
        <v>0</v>
      </c>
      <c r="O1067" s="4"/>
      <c r="P1067" s="4"/>
      <c r="Q1067" s="11">
        <v>0</v>
      </c>
      <c r="R1067" s="4"/>
      <c r="S1067" s="12"/>
    </row>
    <row r="1068" spans="1:19" x14ac:dyDescent="0.25">
      <c r="A1068" s="9" t="s">
        <v>878</v>
      </c>
      <c r="B1068" s="9" t="s">
        <v>291</v>
      </c>
      <c r="C1068" s="4">
        <v>201000840</v>
      </c>
      <c r="D1068" s="4" t="s">
        <v>882</v>
      </c>
      <c r="E1068" s="4" t="str">
        <f>"016252010"</f>
        <v>016252010</v>
      </c>
      <c r="F1068" s="10">
        <v>40149</v>
      </c>
      <c r="G1068" s="11">
        <v>5781.5</v>
      </c>
      <c r="H1068" s="11">
        <v>5781.5</v>
      </c>
      <c r="I1068" s="4" t="s">
        <v>234</v>
      </c>
      <c r="J1068" s="4" t="s">
        <v>235</v>
      </c>
      <c r="K1068" s="11">
        <v>0</v>
      </c>
      <c r="L1068" s="4"/>
      <c r="M1068" s="4"/>
      <c r="N1068" s="11">
        <v>0</v>
      </c>
      <c r="O1068" s="4"/>
      <c r="P1068" s="4"/>
      <c r="Q1068" s="11">
        <v>0</v>
      </c>
      <c r="R1068" s="4"/>
      <c r="S1068" s="12"/>
    </row>
    <row r="1069" spans="1:19" x14ac:dyDescent="0.25">
      <c r="A1069" s="9" t="s">
        <v>878</v>
      </c>
      <c r="B1069" s="9" t="s">
        <v>291</v>
      </c>
      <c r="C1069" s="4">
        <v>201000844</v>
      </c>
      <c r="D1069" s="4"/>
      <c r="E1069" s="4" t="str">
        <f>"016272010"</f>
        <v>016272010</v>
      </c>
      <c r="F1069" s="10">
        <v>40149</v>
      </c>
      <c r="G1069" s="11">
        <v>6849.31</v>
      </c>
      <c r="H1069" s="11">
        <v>6849.31</v>
      </c>
      <c r="I1069" s="4" t="s">
        <v>234</v>
      </c>
      <c r="J1069" s="4" t="s">
        <v>235</v>
      </c>
      <c r="K1069" s="11">
        <v>0</v>
      </c>
      <c r="L1069" s="4"/>
      <c r="M1069" s="4"/>
      <c r="N1069" s="11">
        <v>0</v>
      </c>
      <c r="O1069" s="4"/>
      <c r="P1069" s="4"/>
      <c r="Q1069" s="11">
        <v>0</v>
      </c>
      <c r="R1069" s="4"/>
      <c r="S1069" s="12"/>
    </row>
    <row r="1070" spans="1:19" x14ac:dyDescent="0.25">
      <c r="A1070" s="9" t="s">
        <v>878</v>
      </c>
      <c r="B1070" s="9" t="s">
        <v>291</v>
      </c>
      <c r="C1070" s="4">
        <v>201000854</v>
      </c>
      <c r="D1070" s="4" t="s">
        <v>2534</v>
      </c>
      <c r="E1070" s="4" t="str">
        <f>"016412010"</f>
        <v>016412010</v>
      </c>
      <c r="F1070" s="10">
        <v>40150</v>
      </c>
      <c r="G1070" s="11">
        <v>6798.7</v>
      </c>
      <c r="H1070" s="11">
        <v>0</v>
      </c>
      <c r="I1070" s="4"/>
      <c r="J1070" s="4"/>
      <c r="K1070" s="11">
        <v>6798.7</v>
      </c>
      <c r="L1070" s="4" t="s">
        <v>234</v>
      </c>
      <c r="M1070" s="4" t="s">
        <v>235</v>
      </c>
      <c r="N1070" s="11">
        <v>0</v>
      </c>
      <c r="O1070" s="4"/>
      <c r="P1070" s="4"/>
      <c r="Q1070" s="11">
        <v>0</v>
      </c>
      <c r="R1070" s="4"/>
      <c r="S1070" s="12"/>
    </row>
    <row r="1071" spans="1:19" x14ac:dyDescent="0.25">
      <c r="A1071" s="9" t="s">
        <v>878</v>
      </c>
      <c r="B1071" s="9" t="s">
        <v>291</v>
      </c>
      <c r="C1071" s="4">
        <v>201001129</v>
      </c>
      <c r="D1071" s="4" t="s">
        <v>883</v>
      </c>
      <c r="E1071" s="4" t="str">
        <f>"021812010"</f>
        <v>021812010</v>
      </c>
      <c r="F1071" s="10">
        <v>40161</v>
      </c>
      <c r="G1071" s="11">
        <v>12500</v>
      </c>
      <c r="H1071" s="11">
        <v>0</v>
      </c>
      <c r="I1071" s="4"/>
      <c r="J1071" s="4"/>
      <c r="K1071" s="11">
        <v>12500</v>
      </c>
      <c r="L1071" s="4" t="s">
        <v>234</v>
      </c>
      <c r="M1071" s="4" t="s">
        <v>235</v>
      </c>
      <c r="N1071" s="11">
        <v>0</v>
      </c>
      <c r="O1071" s="4"/>
      <c r="P1071" s="4"/>
      <c r="Q1071" s="11">
        <v>0</v>
      </c>
      <c r="R1071" s="4"/>
      <c r="S1071" s="12"/>
    </row>
    <row r="1072" spans="1:19" x14ac:dyDescent="0.25">
      <c r="A1072" s="9" t="s">
        <v>878</v>
      </c>
      <c r="B1072" s="9" t="s">
        <v>291</v>
      </c>
      <c r="C1072" s="4">
        <v>201001207</v>
      </c>
      <c r="D1072" s="4"/>
      <c r="E1072" s="4" t="str">
        <f>"023712010"</f>
        <v>023712010</v>
      </c>
      <c r="F1072" s="10">
        <v>40165</v>
      </c>
      <c r="G1072" s="11">
        <v>42000</v>
      </c>
      <c r="H1072" s="11">
        <v>42000</v>
      </c>
      <c r="I1072" s="4" t="s">
        <v>234</v>
      </c>
      <c r="J1072" s="4" t="s">
        <v>235</v>
      </c>
      <c r="K1072" s="11">
        <v>0</v>
      </c>
      <c r="L1072" s="4"/>
      <c r="M1072" s="4"/>
      <c r="N1072" s="11">
        <v>0</v>
      </c>
      <c r="O1072" s="4"/>
      <c r="P1072" s="4"/>
      <c r="Q1072" s="11">
        <v>0</v>
      </c>
      <c r="R1072" s="4"/>
      <c r="S1072" s="12"/>
    </row>
    <row r="1073" spans="1:19" x14ac:dyDescent="0.25">
      <c r="A1073" s="9" t="s">
        <v>878</v>
      </c>
      <c r="B1073" s="9" t="s">
        <v>291</v>
      </c>
      <c r="C1073" s="4">
        <v>201001243</v>
      </c>
      <c r="D1073" s="4" t="s">
        <v>884</v>
      </c>
      <c r="E1073" s="4" t="str">
        <f>"025372010"</f>
        <v>025372010</v>
      </c>
      <c r="F1073" s="10">
        <v>40177</v>
      </c>
      <c r="G1073" s="11">
        <v>12123.67</v>
      </c>
      <c r="H1073" s="11">
        <v>12123.67</v>
      </c>
      <c r="I1073" s="4" t="s">
        <v>234</v>
      </c>
      <c r="J1073" s="4" t="s">
        <v>235</v>
      </c>
      <c r="K1073" s="11">
        <v>0</v>
      </c>
      <c r="L1073" s="4"/>
      <c r="M1073" s="4"/>
      <c r="N1073" s="11">
        <v>0</v>
      </c>
      <c r="O1073" s="4"/>
      <c r="P1073" s="4"/>
      <c r="Q1073" s="11">
        <v>0</v>
      </c>
      <c r="R1073" s="4"/>
      <c r="S1073" s="12"/>
    </row>
    <row r="1074" spans="1:19" x14ac:dyDescent="0.25">
      <c r="A1074" s="9" t="s">
        <v>878</v>
      </c>
      <c r="B1074" s="9" t="s">
        <v>291</v>
      </c>
      <c r="C1074" s="4">
        <v>201001385</v>
      </c>
      <c r="D1074" s="4" t="s">
        <v>2534</v>
      </c>
      <c r="E1074" s="4" t="str">
        <f>"026872010"</f>
        <v>026872010</v>
      </c>
      <c r="F1074" s="10">
        <v>40185</v>
      </c>
      <c r="G1074" s="11">
        <v>4049.28</v>
      </c>
      <c r="H1074" s="11">
        <v>0</v>
      </c>
      <c r="I1074" s="4"/>
      <c r="J1074" s="4"/>
      <c r="K1074" s="11">
        <v>4049.28</v>
      </c>
      <c r="L1074" s="4" t="s">
        <v>234</v>
      </c>
      <c r="M1074" s="4" t="s">
        <v>235</v>
      </c>
      <c r="N1074" s="11">
        <v>0</v>
      </c>
      <c r="O1074" s="4"/>
      <c r="P1074" s="4"/>
      <c r="Q1074" s="11">
        <v>0</v>
      </c>
      <c r="R1074" s="4"/>
      <c r="S1074" s="12"/>
    </row>
    <row r="1075" spans="1:19" x14ac:dyDescent="0.25">
      <c r="A1075" s="9" t="s">
        <v>878</v>
      </c>
      <c r="B1075" s="9" t="s">
        <v>291</v>
      </c>
      <c r="C1075" s="4">
        <v>201001448</v>
      </c>
      <c r="D1075" s="4" t="s">
        <v>885</v>
      </c>
      <c r="E1075" s="4" t="str">
        <f>"028322010"</f>
        <v>028322010</v>
      </c>
      <c r="F1075" s="10">
        <v>40186</v>
      </c>
      <c r="G1075" s="11">
        <v>82500</v>
      </c>
      <c r="H1075" s="11">
        <v>82500</v>
      </c>
      <c r="I1075" s="4" t="s">
        <v>234</v>
      </c>
      <c r="J1075" s="4" t="s">
        <v>235</v>
      </c>
      <c r="K1075" s="11">
        <v>0</v>
      </c>
      <c r="L1075" s="4"/>
      <c r="M1075" s="4"/>
      <c r="N1075" s="11">
        <v>0</v>
      </c>
      <c r="O1075" s="4"/>
      <c r="P1075" s="4"/>
      <c r="Q1075" s="11">
        <v>0</v>
      </c>
      <c r="R1075" s="4"/>
      <c r="S1075" s="12"/>
    </row>
    <row r="1076" spans="1:19" x14ac:dyDescent="0.25">
      <c r="A1076" s="9" t="s">
        <v>878</v>
      </c>
      <c r="B1076" s="9" t="s">
        <v>291</v>
      </c>
      <c r="C1076" s="4">
        <v>201001717</v>
      </c>
      <c r="D1076" s="4" t="s">
        <v>2534</v>
      </c>
      <c r="E1076" s="4" t="str">
        <f>"044502010"</f>
        <v>044502010</v>
      </c>
      <c r="F1076" s="10">
        <v>40246</v>
      </c>
      <c r="G1076" s="11">
        <v>227704.95999999999</v>
      </c>
      <c r="H1076" s="11">
        <v>0</v>
      </c>
      <c r="I1076" s="4"/>
      <c r="J1076" s="4"/>
      <c r="K1076" s="11">
        <v>227704.95999999999</v>
      </c>
      <c r="L1076" s="4" t="s">
        <v>234</v>
      </c>
      <c r="M1076" s="4" t="s">
        <v>235</v>
      </c>
      <c r="N1076" s="11">
        <v>0</v>
      </c>
      <c r="O1076" s="4"/>
      <c r="P1076" s="4"/>
      <c r="Q1076" s="11">
        <v>0</v>
      </c>
      <c r="R1076" s="4"/>
      <c r="S1076" s="12"/>
    </row>
    <row r="1077" spans="1:19" x14ac:dyDescent="0.25">
      <c r="A1077" s="9" t="s">
        <v>878</v>
      </c>
      <c r="B1077" s="9" t="s">
        <v>291</v>
      </c>
      <c r="C1077" s="4">
        <v>201001854</v>
      </c>
      <c r="D1077" s="4" t="s">
        <v>886</v>
      </c>
      <c r="E1077" s="4" t="str">
        <f>"037452010"</f>
        <v>037452010</v>
      </c>
      <c r="F1077" s="10">
        <v>40226</v>
      </c>
      <c r="G1077" s="11">
        <v>5600000</v>
      </c>
      <c r="H1077" s="11">
        <v>0</v>
      </c>
      <c r="I1077" s="4"/>
      <c r="J1077" s="4"/>
      <c r="K1077" s="11">
        <v>5600000</v>
      </c>
      <c r="L1077" s="4" t="s">
        <v>234</v>
      </c>
      <c r="M1077" s="4" t="s">
        <v>235</v>
      </c>
      <c r="N1077" s="11">
        <v>0</v>
      </c>
      <c r="O1077" s="4"/>
      <c r="P1077" s="4"/>
      <c r="Q1077" s="11">
        <v>0</v>
      </c>
      <c r="R1077" s="4"/>
      <c r="S1077" s="12"/>
    </row>
    <row r="1078" spans="1:19" x14ac:dyDescent="0.25">
      <c r="A1078" s="9" t="s">
        <v>878</v>
      </c>
      <c r="B1078" s="9" t="s">
        <v>291</v>
      </c>
      <c r="C1078" s="4">
        <v>201001992</v>
      </c>
      <c r="D1078" s="4" t="s">
        <v>2534</v>
      </c>
      <c r="E1078" s="4" t="str">
        <f>"039102010"</f>
        <v>039102010</v>
      </c>
      <c r="F1078" s="10">
        <v>40228</v>
      </c>
      <c r="G1078" s="11">
        <v>275000</v>
      </c>
      <c r="H1078" s="11">
        <v>0</v>
      </c>
      <c r="I1078" s="4"/>
      <c r="J1078" s="4"/>
      <c r="K1078" s="11">
        <v>275000</v>
      </c>
      <c r="L1078" s="4" t="s">
        <v>234</v>
      </c>
      <c r="M1078" s="4" t="s">
        <v>235</v>
      </c>
      <c r="N1078" s="11">
        <v>0</v>
      </c>
      <c r="O1078" s="4"/>
      <c r="P1078" s="4"/>
      <c r="Q1078" s="11">
        <v>0</v>
      </c>
      <c r="R1078" s="4"/>
      <c r="S1078" s="12"/>
    </row>
    <row r="1079" spans="1:19" x14ac:dyDescent="0.25">
      <c r="A1079" s="9" t="s">
        <v>878</v>
      </c>
      <c r="B1079" s="9" t="s">
        <v>291</v>
      </c>
      <c r="C1079" s="4">
        <v>201001993</v>
      </c>
      <c r="D1079" s="4" t="s">
        <v>2534</v>
      </c>
      <c r="E1079" s="4" t="str">
        <f>"039222010"</f>
        <v>039222010</v>
      </c>
      <c r="F1079" s="10">
        <v>40228</v>
      </c>
      <c r="G1079" s="11">
        <v>9000</v>
      </c>
      <c r="H1079" s="11">
        <v>0</v>
      </c>
      <c r="I1079" s="4"/>
      <c r="J1079" s="4"/>
      <c r="K1079" s="11">
        <v>9000</v>
      </c>
      <c r="L1079" s="4" t="s">
        <v>234</v>
      </c>
      <c r="M1079" s="4" t="s">
        <v>235</v>
      </c>
      <c r="N1079" s="11">
        <v>0</v>
      </c>
      <c r="O1079" s="4"/>
      <c r="P1079" s="4"/>
      <c r="Q1079" s="11">
        <v>0</v>
      </c>
      <c r="R1079" s="4"/>
      <c r="S1079" s="12"/>
    </row>
    <row r="1080" spans="1:19" x14ac:dyDescent="0.25">
      <c r="A1080" s="9" t="s">
        <v>878</v>
      </c>
      <c r="B1080" s="9" t="s">
        <v>291</v>
      </c>
      <c r="C1080" s="4">
        <v>201002047</v>
      </c>
      <c r="D1080" s="4" t="s">
        <v>887</v>
      </c>
      <c r="E1080" s="4" t="str">
        <f>"040422010"</f>
        <v>040422010</v>
      </c>
      <c r="F1080" s="10">
        <v>40233</v>
      </c>
      <c r="G1080" s="11">
        <v>10000</v>
      </c>
      <c r="H1080" s="11">
        <v>0</v>
      </c>
      <c r="I1080" s="4"/>
      <c r="J1080" s="4"/>
      <c r="K1080" s="11">
        <v>10000</v>
      </c>
      <c r="L1080" s="4" t="s">
        <v>234</v>
      </c>
      <c r="M1080" s="4" t="s">
        <v>235</v>
      </c>
      <c r="N1080" s="11">
        <v>0</v>
      </c>
      <c r="O1080" s="4"/>
      <c r="P1080" s="4"/>
      <c r="Q1080" s="11">
        <v>0</v>
      </c>
      <c r="R1080" s="4"/>
      <c r="S1080" s="12"/>
    </row>
    <row r="1081" spans="1:19" x14ac:dyDescent="0.25">
      <c r="A1081" s="9" t="s">
        <v>878</v>
      </c>
      <c r="B1081" s="9" t="s">
        <v>291</v>
      </c>
      <c r="C1081" s="4">
        <v>201002216</v>
      </c>
      <c r="D1081" s="4" t="s">
        <v>2534</v>
      </c>
      <c r="E1081" s="4" t="str">
        <f>"043552010"</f>
        <v>043552010</v>
      </c>
      <c r="F1081" s="10">
        <v>40241</v>
      </c>
      <c r="G1081" s="11">
        <v>120000</v>
      </c>
      <c r="H1081" s="11">
        <v>0</v>
      </c>
      <c r="I1081" s="4"/>
      <c r="J1081" s="4"/>
      <c r="K1081" s="11">
        <v>120000</v>
      </c>
      <c r="L1081" s="4" t="s">
        <v>234</v>
      </c>
      <c r="M1081" s="4" t="s">
        <v>235</v>
      </c>
      <c r="N1081" s="11">
        <v>0</v>
      </c>
      <c r="O1081" s="4"/>
      <c r="P1081" s="4"/>
      <c r="Q1081" s="11">
        <v>0</v>
      </c>
      <c r="R1081" s="4"/>
      <c r="S1081" s="12"/>
    </row>
    <row r="1082" spans="1:19" x14ac:dyDescent="0.25">
      <c r="A1082" s="9" t="s">
        <v>878</v>
      </c>
      <c r="B1082" s="9" t="s">
        <v>291</v>
      </c>
      <c r="C1082" s="4">
        <v>201002590</v>
      </c>
      <c r="D1082" s="4" t="s">
        <v>2534</v>
      </c>
      <c r="E1082" s="4" t="str">
        <f>"051402010"</f>
        <v>051402010</v>
      </c>
      <c r="F1082" s="10">
        <v>40263</v>
      </c>
      <c r="G1082" s="11">
        <v>13124</v>
      </c>
      <c r="H1082" s="11">
        <v>0</v>
      </c>
      <c r="I1082" s="4"/>
      <c r="J1082" s="4"/>
      <c r="K1082" s="11">
        <v>13124</v>
      </c>
      <c r="L1082" s="4" t="s">
        <v>234</v>
      </c>
      <c r="M1082" s="4" t="s">
        <v>235</v>
      </c>
      <c r="N1082" s="11">
        <v>0</v>
      </c>
      <c r="O1082" s="4"/>
      <c r="P1082" s="4"/>
      <c r="Q1082" s="11">
        <v>0</v>
      </c>
      <c r="R1082" s="4"/>
      <c r="S1082" s="12"/>
    </row>
    <row r="1083" spans="1:19" x14ac:dyDescent="0.25">
      <c r="A1083" s="9" t="s">
        <v>878</v>
      </c>
      <c r="B1083" s="9" t="s">
        <v>291</v>
      </c>
      <c r="C1083" s="4">
        <v>201002636</v>
      </c>
      <c r="D1083" s="4" t="s">
        <v>888</v>
      </c>
      <c r="E1083" s="4" t="str">
        <f>"052062010"</f>
        <v>052062010</v>
      </c>
      <c r="F1083" s="10">
        <v>40266</v>
      </c>
      <c r="G1083" s="11">
        <v>10000</v>
      </c>
      <c r="H1083" s="11">
        <v>10000</v>
      </c>
      <c r="I1083" s="4" t="s">
        <v>23</v>
      </c>
      <c r="J1083" s="4" t="s">
        <v>24</v>
      </c>
      <c r="K1083" s="11">
        <v>0</v>
      </c>
      <c r="L1083" s="4"/>
      <c r="M1083" s="4"/>
      <c r="N1083" s="11">
        <v>0</v>
      </c>
      <c r="O1083" s="4"/>
      <c r="P1083" s="4"/>
      <c r="Q1083" s="11">
        <v>0</v>
      </c>
      <c r="R1083" s="4"/>
      <c r="S1083" s="12"/>
    </row>
    <row r="1084" spans="1:19" x14ac:dyDescent="0.25">
      <c r="A1084" s="9" t="s">
        <v>878</v>
      </c>
      <c r="B1084" s="9" t="s">
        <v>291</v>
      </c>
      <c r="C1084" s="4">
        <v>201003091</v>
      </c>
      <c r="D1084" s="4"/>
      <c r="E1084" s="4" t="str">
        <f>"061602010"</f>
        <v>061602010</v>
      </c>
      <c r="F1084" s="10">
        <v>40291</v>
      </c>
      <c r="G1084" s="11">
        <v>95000</v>
      </c>
      <c r="H1084" s="11">
        <v>0</v>
      </c>
      <c r="I1084" s="4"/>
      <c r="J1084" s="4"/>
      <c r="K1084" s="11">
        <v>95000</v>
      </c>
      <c r="L1084" s="4" t="s">
        <v>234</v>
      </c>
      <c r="M1084" s="4" t="s">
        <v>235</v>
      </c>
      <c r="N1084" s="11">
        <v>0</v>
      </c>
      <c r="O1084" s="4"/>
      <c r="P1084" s="4"/>
      <c r="Q1084" s="11">
        <v>0</v>
      </c>
      <c r="R1084" s="4"/>
      <c r="S1084" s="12"/>
    </row>
    <row r="1085" spans="1:19" x14ac:dyDescent="0.25">
      <c r="A1085" s="9" t="s">
        <v>878</v>
      </c>
      <c r="B1085" s="9" t="s">
        <v>291</v>
      </c>
      <c r="C1085" s="4">
        <v>201003579</v>
      </c>
      <c r="D1085" s="4"/>
      <c r="E1085" s="4" t="str">
        <f>"072552010"</f>
        <v>072552010</v>
      </c>
      <c r="F1085" s="10">
        <v>40323</v>
      </c>
      <c r="G1085" s="11">
        <v>2762</v>
      </c>
      <c r="H1085" s="11">
        <v>0</v>
      </c>
      <c r="I1085" s="4"/>
      <c r="J1085" s="4"/>
      <c r="K1085" s="11">
        <v>2762</v>
      </c>
      <c r="L1085" s="4" t="s">
        <v>234</v>
      </c>
      <c r="M1085" s="4" t="s">
        <v>235</v>
      </c>
      <c r="N1085" s="11">
        <v>0</v>
      </c>
      <c r="O1085" s="4"/>
      <c r="P1085" s="4"/>
      <c r="Q1085" s="11">
        <v>0</v>
      </c>
      <c r="R1085" s="4"/>
      <c r="S1085" s="12"/>
    </row>
    <row r="1086" spans="1:19" x14ac:dyDescent="0.25">
      <c r="A1086" s="9" t="s">
        <v>878</v>
      </c>
      <c r="B1086" s="9" t="s">
        <v>291</v>
      </c>
      <c r="C1086" s="4">
        <v>201003635</v>
      </c>
      <c r="D1086" s="4"/>
      <c r="E1086" s="4" t="str">
        <f>"071792010"</f>
        <v>071792010</v>
      </c>
      <c r="F1086" s="10">
        <v>40324</v>
      </c>
      <c r="G1086" s="11">
        <v>11859</v>
      </c>
      <c r="H1086" s="11">
        <v>0</v>
      </c>
      <c r="I1086" s="4"/>
      <c r="J1086" s="4"/>
      <c r="K1086" s="11">
        <v>11859</v>
      </c>
      <c r="L1086" s="4" t="s">
        <v>234</v>
      </c>
      <c r="M1086" s="4" t="s">
        <v>235</v>
      </c>
      <c r="N1086" s="11">
        <v>0</v>
      </c>
      <c r="O1086" s="4"/>
      <c r="P1086" s="4"/>
      <c r="Q1086" s="11">
        <v>0</v>
      </c>
      <c r="R1086" s="4"/>
      <c r="S1086" s="12"/>
    </row>
    <row r="1087" spans="1:19" x14ac:dyDescent="0.25">
      <c r="A1087" s="9" t="s">
        <v>878</v>
      </c>
      <c r="B1087" s="9" t="s">
        <v>291</v>
      </c>
      <c r="C1087" s="4">
        <v>201003647</v>
      </c>
      <c r="D1087" s="4" t="s">
        <v>2534</v>
      </c>
      <c r="E1087" s="4" t="str">
        <f>"072652010"</f>
        <v>072652010</v>
      </c>
      <c r="F1087" s="10">
        <v>40323</v>
      </c>
      <c r="G1087" s="11">
        <v>10750</v>
      </c>
      <c r="H1087" s="11">
        <v>0</v>
      </c>
      <c r="I1087" s="4"/>
      <c r="J1087" s="4"/>
      <c r="K1087" s="11">
        <v>10750</v>
      </c>
      <c r="L1087" s="4" t="s">
        <v>234</v>
      </c>
      <c r="M1087" s="4" t="s">
        <v>235</v>
      </c>
      <c r="N1087" s="11">
        <v>0</v>
      </c>
      <c r="O1087" s="4"/>
      <c r="P1087" s="4"/>
      <c r="Q1087" s="11">
        <v>0</v>
      </c>
      <c r="R1087" s="4"/>
      <c r="S1087" s="12"/>
    </row>
    <row r="1088" spans="1:19" x14ac:dyDescent="0.25">
      <c r="A1088" s="9" t="s">
        <v>878</v>
      </c>
      <c r="B1088" s="9" t="s">
        <v>291</v>
      </c>
      <c r="C1088" s="4">
        <v>201003772</v>
      </c>
      <c r="D1088" s="4" t="s">
        <v>2534</v>
      </c>
      <c r="E1088" s="4" t="str">
        <f>"074282010"</f>
        <v>074282010</v>
      </c>
      <c r="F1088" s="10">
        <v>40332</v>
      </c>
      <c r="G1088" s="11">
        <v>3023.14</v>
      </c>
      <c r="H1088" s="11">
        <v>0</v>
      </c>
      <c r="I1088" s="4"/>
      <c r="J1088" s="4"/>
      <c r="K1088" s="11">
        <v>3023.14</v>
      </c>
      <c r="L1088" s="4" t="s">
        <v>234</v>
      </c>
      <c r="M1088" s="4" t="s">
        <v>235</v>
      </c>
      <c r="N1088" s="11">
        <v>0</v>
      </c>
      <c r="O1088" s="4"/>
      <c r="P1088" s="4"/>
      <c r="Q1088" s="11">
        <v>0</v>
      </c>
      <c r="R1088" s="4"/>
      <c r="S1088" s="12"/>
    </row>
    <row r="1089" spans="1:19" x14ac:dyDescent="0.25">
      <c r="A1089" s="9" t="s">
        <v>878</v>
      </c>
      <c r="B1089" s="9" t="s">
        <v>291</v>
      </c>
      <c r="C1089" s="4">
        <v>201004059</v>
      </c>
      <c r="D1089" s="4" t="s">
        <v>2534</v>
      </c>
      <c r="E1089" s="4" t="str">
        <f>"080382010"</f>
        <v>080382010</v>
      </c>
      <c r="F1089" s="10">
        <v>40346</v>
      </c>
      <c r="G1089" s="11">
        <v>700</v>
      </c>
      <c r="H1089" s="11">
        <v>0</v>
      </c>
      <c r="I1089" s="4"/>
      <c r="J1089" s="4"/>
      <c r="K1089" s="11">
        <v>700</v>
      </c>
      <c r="L1089" s="4" t="s">
        <v>234</v>
      </c>
      <c r="M1089" s="4" t="s">
        <v>235</v>
      </c>
      <c r="N1089" s="11">
        <v>0</v>
      </c>
      <c r="O1089" s="4"/>
      <c r="P1089" s="4"/>
      <c r="Q1089" s="11">
        <v>0</v>
      </c>
      <c r="R1089" s="4"/>
      <c r="S1089" s="12"/>
    </row>
    <row r="1090" spans="1:19" x14ac:dyDescent="0.25">
      <c r="A1090" s="9" t="s">
        <v>878</v>
      </c>
      <c r="B1090" s="9" t="s">
        <v>291</v>
      </c>
      <c r="C1090" s="4">
        <v>201004235</v>
      </c>
      <c r="D1090" s="4" t="s">
        <v>2534</v>
      </c>
      <c r="E1090" s="4" t="str">
        <f>"084602010"</f>
        <v>084602010</v>
      </c>
      <c r="F1090" s="10">
        <v>40357</v>
      </c>
      <c r="G1090" s="11">
        <v>8000</v>
      </c>
      <c r="H1090" s="11">
        <v>0</v>
      </c>
      <c r="I1090" s="4"/>
      <c r="J1090" s="4"/>
      <c r="K1090" s="11">
        <v>8000</v>
      </c>
      <c r="L1090" s="4" t="s">
        <v>234</v>
      </c>
      <c r="M1090" s="4" t="s">
        <v>235</v>
      </c>
      <c r="N1090" s="11">
        <v>0</v>
      </c>
      <c r="O1090" s="4"/>
      <c r="P1090" s="4"/>
      <c r="Q1090" s="11">
        <v>0</v>
      </c>
      <c r="R1090" s="4"/>
      <c r="S1090" s="12"/>
    </row>
    <row r="1091" spans="1:19" x14ac:dyDescent="0.25">
      <c r="A1091" s="9" t="s">
        <v>878</v>
      </c>
      <c r="B1091" s="9" t="s">
        <v>291</v>
      </c>
      <c r="C1091" s="4">
        <v>201004560</v>
      </c>
      <c r="D1091" s="4" t="s">
        <v>889</v>
      </c>
      <c r="E1091" s="4" t="str">
        <f>"090702010"</f>
        <v>090702010</v>
      </c>
      <c r="F1091" s="10">
        <v>40367</v>
      </c>
      <c r="G1091" s="11">
        <v>4800</v>
      </c>
      <c r="H1091" s="11">
        <v>0</v>
      </c>
      <c r="I1091" s="4"/>
      <c r="J1091" s="4"/>
      <c r="K1091" s="11">
        <v>4800</v>
      </c>
      <c r="L1091" s="4" t="s">
        <v>234</v>
      </c>
      <c r="M1091" s="4" t="s">
        <v>235</v>
      </c>
      <c r="N1091" s="11">
        <v>0</v>
      </c>
      <c r="O1091" s="4"/>
      <c r="P1091" s="4"/>
      <c r="Q1091" s="11">
        <v>0</v>
      </c>
      <c r="R1091" s="4"/>
      <c r="S1091" s="12"/>
    </row>
    <row r="1092" spans="1:19" x14ac:dyDescent="0.25">
      <c r="A1092" s="9" t="s">
        <v>878</v>
      </c>
      <c r="B1092" s="9" t="s">
        <v>291</v>
      </c>
      <c r="C1092" s="4">
        <v>201005473</v>
      </c>
      <c r="D1092" s="4" t="s">
        <v>2534</v>
      </c>
      <c r="E1092" s="4" t="str">
        <f>"108612010"</f>
        <v>108612010</v>
      </c>
      <c r="F1092" s="10">
        <v>40428</v>
      </c>
      <c r="G1092" s="11">
        <v>4700</v>
      </c>
      <c r="H1092" s="11">
        <v>0</v>
      </c>
      <c r="I1092" s="4"/>
      <c r="J1092" s="4"/>
      <c r="K1092" s="11">
        <v>4700</v>
      </c>
      <c r="L1092" s="4" t="s">
        <v>234</v>
      </c>
      <c r="M1092" s="4" t="s">
        <v>235</v>
      </c>
      <c r="N1092" s="11">
        <v>0</v>
      </c>
      <c r="O1092" s="4"/>
      <c r="P1092" s="4"/>
      <c r="Q1092" s="11">
        <v>0</v>
      </c>
      <c r="R1092" s="4"/>
      <c r="S1092" s="12"/>
    </row>
    <row r="1093" spans="1:19" x14ac:dyDescent="0.25">
      <c r="A1093" s="9" t="s">
        <v>890</v>
      </c>
      <c r="B1093" s="9" t="s">
        <v>291</v>
      </c>
      <c r="C1093" s="4">
        <v>201001748</v>
      </c>
      <c r="D1093" s="4" t="s">
        <v>891</v>
      </c>
      <c r="E1093" s="4" t="str">
        <f>"034202010"</f>
        <v>034202010</v>
      </c>
      <c r="F1093" s="10">
        <v>40205</v>
      </c>
      <c r="G1093" s="11">
        <v>15000</v>
      </c>
      <c r="H1093" s="11">
        <v>0</v>
      </c>
      <c r="I1093" s="4"/>
      <c r="J1093" s="4"/>
      <c r="K1093" s="11">
        <v>15000</v>
      </c>
      <c r="L1093" s="4" t="s">
        <v>234</v>
      </c>
      <c r="M1093" s="4" t="s">
        <v>235</v>
      </c>
      <c r="N1093" s="11">
        <v>0</v>
      </c>
      <c r="O1093" s="4"/>
      <c r="P1093" s="4"/>
      <c r="Q1093" s="11">
        <v>0</v>
      </c>
      <c r="R1093" s="4"/>
      <c r="S1093" s="12"/>
    </row>
    <row r="1094" spans="1:19" x14ac:dyDescent="0.25">
      <c r="A1094" s="9" t="s">
        <v>890</v>
      </c>
      <c r="B1094" s="9" t="s">
        <v>291</v>
      </c>
      <c r="C1094" s="4">
        <v>201005351</v>
      </c>
      <c r="D1094" s="4" t="s">
        <v>892</v>
      </c>
      <c r="E1094" s="4" t="str">
        <f>"106582010"</f>
        <v>106582010</v>
      </c>
      <c r="F1094" s="10">
        <v>40417</v>
      </c>
      <c r="G1094" s="11">
        <v>30000</v>
      </c>
      <c r="H1094" s="11">
        <v>0</v>
      </c>
      <c r="I1094" s="4"/>
      <c r="J1094" s="4"/>
      <c r="K1094" s="11">
        <v>30000</v>
      </c>
      <c r="L1094" s="4" t="s">
        <v>234</v>
      </c>
      <c r="M1094" s="4" t="s">
        <v>235</v>
      </c>
      <c r="N1094" s="11">
        <v>0</v>
      </c>
      <c r="O1094" s="4"/>
      <c r="P1094" s="4"/>
      <c r="Q1094" s="11">
        <v>0</v>
      </c>
      <c r="R1094" s="4"/>
      <c r="S1094" s="12"/>
    </row>
    <row r="1095" spans="1:19" x14ac:dyDescent="0.25">
      <c r="A1095" s="9" t="s">
        <v>893</v>
      </c>
      <c r="B1095" s="9" t="s">
        <v>291</v>
      </c>
      <c r="C1095" s="4">
        <v>201003334</v>
      </c>
      <c r="D1095" s="4" t="s">
        <v>894</v>
      </c>
      <c r="E1095" s="4" t="str">
        <f>"066722010"</f>
        <v>066722010</v>
      </c>
      <c r="F1095" s="10">
        <v>40310</v>
      </c>
      <c r="G1095" s="11">
        <v>367768.71</v>
      </c>
      <c r="H1095" s="11">
        <v>367768.71</v>
      </c>
      <c r="I1095" s="4" t="s">
        <v>23</v>
      </c>
      <c r="J1095" s="4" t="s">
        <v>24</v>
      </c>
      <c r="K1095" s="11">
        <v>0</v>
      </c>
      <c r="L1095" s="4"/>
      <c r="M1095" s="4"/>
      <c r="N1095" s="11">
        <v>0</v>
      </c>
      <c r="O1095" s="4"/>
      <c r="P1095" s="4"/>
      <c r="Q1095" s="11">
        <v>0</v>
      </c>
      <c r="R1095" s="4"/>
      <c r="S1095" s="12"/>
    </row>
    <row r="1096" spans="1:19" x14ac:dyDescent="0.25">
      <c r="A1096" s="9" t="s">
        <v>895</v>
      </c>
      <c r="B1096" s="9" t="s">
        <v>291</v>
      </c>
      <c r="C1096" s="4">
        <v>201000217</v>
      </c>
      <c r="D1096" s="4" t="s">
        <v>896</v>
      </c>
      <c r="E1096" s="4" t="str">
        <f>"003802010"</f>
        <v>003802010</v>
      </c>
      <c r="F1096" s="10">
        <v>40102</v>
      </c>
      <c r="G1096" s="11">
        <v>43500</v>
      </c>
      <c r="H1096" s="11">
        <v>43500</v>
      </c>
      <c r="I1096" s="4" t="s">
        <v>104</v>
      </c>
      <c r="J1096" s="4" t="s">
        <v>105</v>
      </c>
      <c r="K1096" s="11">
        <v>0</v>
      </c>
      <c r="L1096" s="4"/>
      <c r="M1096" s="4"/>
      <c r="N1096" s="11">
        <v>0</v>
      </c>
      <c r="O1096" s="4"/>
      <c r="P1096" s="4"/>
      <c r="Q1096" s="11">
        <v>0</v>
      </c>
      <c r="R1096" s="4"/>
      <c r="S1096" s="12"/>
    </row>
    <row r="1097" spans="1:19" x14ac:dyDescent="0.25">
      <c r="A1097" s="9" t="s">
        <v>897</v>
      </c>
      <c r="B1097" s="9" t="s">
        <v>291</v>
      </c>
      <c r="C1097" s="4">
        <v>200905742</v>
      </c>
      <c r="D1097" s="4" t="s">
        <v>898</v>
      </c>
      <c r="E1097" s="4" t="str">
        <f>"087042009"</f>
        <v>087042009</v>
      </c>
      <c r="F1097" s="10">
        <v>40092</v>
      </c>
      <c r="G1097" s="11">
        <v>226996</v>
      </c>
      <c r="H1097" s="11">
        <v>226996</v>
      </c>
      <c r="I1097" s="4" t="s">
        <v>781</v>
      </c>
      <c r="J1097" s="4" t="s">
        <v>782</v>
      </c>
      <c r="K1097" s="11">
        <v>0</v>
      </c>
      <c r="L1097" s="4"/>
      <c r="M1097" s="4"/>
      <c r="N1097" s="11">
        <v>0</v>
      </c>
      <c r="O1097" s="4"/>
      <c r="P1097" s="4"/>
      <c r="Q1097" s="11">
        <v>0</v>
      </c>
      <c r="R1097" s="4"/>
      <c r="S1097" s="12"/>
    </row>
    <row r="1098" spans="1:19" x14ac:dyDescent="0.25">
      <c r="A1098" s="9" t="s">
        <v>897</v>
      </c>
      <c r="B1098" s="9" t="s">
        <v>291</v>
      </c>
      <c r="C1098" s="4">
        <v>200905897</v>
      </c>
      <c r="D1098" s="4" t="s">
        <v>899</v>
      </c>
      <c r="E1098" s="4" t="str">
        <f>"087912009"</f>
        <v>087912009</v>
      </c>
      <c r="F1098" s="10">
        <v>40094</v>
      </c>
      <c r="G1098" s="11">
        <v>4657.62</v>
      </c>
      <c r="H1098" s="11">
        <v>4657.62</v>
      </c>
      <c r="I1098" s="4" t="s">
        <v>38</v>
      </c>
      <c r="J1098" s="4" t="s">
        <v>39</v>
      </c>
      <c r="K1098" s="11">
        <v>0</v>
      </c>
      <c r="L1098" s="4"/>
      <c r="M1098" s="4"/>
      <c r="N1098" s="11">
        <v>0</v>
      </c>
      <c r="O1098" s="4"/>
      <c r="P1098" s="4"/>
      <c r="Q1098" s="11">
        <v>0</v>
      </c>
      <c r="R1098" s="4"/>
      <c r="S1098" s="12"/>
    </row>
    <row r="1099" spans="1:19" x14ac:dyDescent="0.25">
      <c r="A1099" s="9" t="s">
        <v>897</v>
      </c>
      <c r="B1099" s="9" t="s">
        <v>291</v>
      </c>
      <c r="C1099" s="4">
        <v>201000495</v>
      </c>
      <c r="D1099" s="4"/>
      <c r="E1099" s="4" t="str">
        <f>"009452010"</f>
        <v>009452010</v>
      </c>
      <c r="F1099" s="10">
        <v>40122</v>
      </c>
      <c r="G1099" s="11">
        <v>13512.65</v>
      </c>
      <c r="H1099" s="11">
        <v>13512.65</v>
      </c>
      <c r="I1099" s="4" t="s">
        <v>142</v>
      </c>
      <c r="J1099" s="4" t="s">
        <v>143</v>
      </c>
      <c r="K1099" s="11">
        <v>0</v>
      </c>
      <c r="L1099" s="4"/>
      <c r="M1099" s="4"/>
      <c r="N1099" s="11">
        <v>0</v>
      </c>
      <c r="O1099" s="4"/>
      <c r="P1099" s="4"/>
      <c r="Q1099" s="11">
        <v>0</v>
      </c>
      <c r="R1099" s="4"/>
      <c r="S1099" s="12"/>
    </row>
    <row r="1100" spans="1:19" x14ac:dyDescent="0.25">
      <c r="A1100" s="9" t="s">
        <v>897</v>
      </c>
      <c r="B1100" s="9" t="s">
        <v>291</v>
      </c>
      <c r="C1100" s="4">
        <v>201000550</v>
      </c>
      <c r="D1100" s="4" t="s">
        <v>900</v>
      </c>
      <c r="E1100" s="4" t="str">
        <f>"010072010"</f>
        <v>010072010</v>
      </c>
      <c r="F1100" s="10">
        <v>40123</v>
      </c>
      <c r="G1100" s="11">
        <v>1558.2</v>
      </c>
      <c r="H1100" s="11">
        <v>0</v>
      </c>
      <c r="I1100" s="4"/>
      <c r="J1100" s="4"/>
      <c r="K1100" s="11">
        <v>0</v>
      </c>
      <c r="L1100" s="4"/>
      <c r="M1100" s="4"/>
      <c r="N1100" s="11">
        <v>1558.2</v>
      </c>
      <c r="O1100" s="4" t="s">
        <v>56</v>
      </c>
      <c r="P1100" s="4" t="s">
        <v>57</v>
      </c>
      <c r="Q1100" s="11">
        <v>0</v>
      </c>
      <c r="R1100" s="4"/>
      <c r="S1100" s="12"/>
    </row>
    <row r="1101" spans="1:19" x14ac:dyDescent="0.25">
      <c r="A1101" s="9" t="s">
        <v>897</v>
      </c>
      <c r="B1101" s="9" t="s">
        <v>291</v>
      </c>
      <c r="C1101" s="4">
        <v>201000721</v>
      </c>
      <c r="D1101" s="4" t="s">
        <v>901</v>
      </c>
      <c r="E1101" s="4" t="str">
        <f>"015402010"</f>
        <v>015402010</v>
      </c>
      <c r="F1101" s="10">
        <v>40142</v>
      </c>
      <c r="G1101" s="11">
        <v>296994.99</v>
      </c>
      <c r="H1101" s="11">
        <v>200000</v>
      </c>
      <c r="I1101" s="4" t="s">
        <v>98</v>
      </c>
      <c r="J1101" s="4" t="s">
        <v>99</v>
      </c>
      <c r="K1101" s="11">
        <v>0</v>
      </c>
      <c r="L1101" s="4"/>
      <c r="M1101" s="4"/>
      <c r="N1101" s="11">
        <v>0</v>
      </c>
      <c r="O1101" s="4"/>
      <c r="P1101" s="4"/>
      <c r="Q1101" s="11">
        <v>96994.99</v>
      </c>
      <c r="R1101" s="4" t="s">
        <v>98</v>
      </c>
      <c r="S1101" s="12" t="s">
        <v>99</v>
      </c>
    </row>
    <row r="1102" spans="1:19" x14ac:dyDescent="0.25">
      <c r="A1102" s="9" t="s">
        <v>897</v>
      </c>
      <c r="B1102" s="9" t="s">
        <v>291</v>
      </c>
      <c r="C1102" s="4">
        <v>201000772</v>
      </c>
      <c r="D1102" s="4" t="s">
        <v>901</v>
      </c>
      <c r="E1102" s="4" t="str">
        <f>"015242010"</f>
        <v>015242010</v>
      </c>
      <c r="F1102" s="10">
        <v>40142</v>
      </c>
      <c r="G1102" s="11">
        <v>651541.93000000005</v>
      </c>
      <c r="H1102" s="11">
        <v>500000</v>
      </c>
      <c r="I1102" s="4" t="s">
        <v>98</v>
      </c>
      <c r="J1102" s="4" t="s">
        <v>99</v>
      </c>
      <c r="K1102" s="11">
        <v>0</v>
      </c>
      <c r="L1102" s="4"/>
      <c r="M1102" s="4"/>
      <c r="N1102" s="11">
        <v>0</v>
      </c>
      <c r="O1102" s="4"/>
      <c r="P1102" s="4"/>
      <c r="Q1102" s="11">
        <v>151541.93</v>
      </c>
      <c r="R1102" s="4" t="s">
        <v>98</v>
      </c>
      <c r="S1102" s="12" t="s">
        <v>99</v>
      </c>
    </row>
    <row r="1103" spans="1:19" x14ac:dyDescent="0.25">
      <c r="A1103" s="9" t="s">
        <v>897</v>
      </c>
      <c r="B1103" s="9" t="s">
        <v>291</v>
      </c>
      <c r="C1103" s="4">
        <v>201002416</v>
      </c>
      <c r="D1103" s="4" t="s">
        <v>902</v>
      </c>
      <c r="E1103" s="4" t="str">
        <f>"047902010"</f>
        <v>047902010</v>
      </c>
      <c r="F1103" s="10">
        <v>40255</v>
      </c>
      <c r="G1103" s="11">
        <v>265000</v>
      </c>
      <c r="H1103" s="11">
        <v>265000</v>
      </c>
      <c r="I1103" s="4" t="s">
        <v>23</v>
      </c>
      <c r="J1103" s="4" t="s">
        <v>24</v>
      </c>
      <c r="K1103" s="11">
        <v>0</v>
      </c>
      <c r="L1103" s="4"/>
      <c r="M1103" s="4"/>
      <c r="N1103" s="11">
        <v>0</v>
      </c>
      <c r="O1103" s="4"/>
      <c r="P1103" s="4"/>
      <c r="Q1103" s="11">
        <v>0</v>
      </c>
      <c r="R1103" s="4"/>
      <c r="S1103" s="12"/>
    </row>
    <row r="1104" spans="1:19" x14ac:dyDescent="0.25">
      <c r="A1104" s="9" t="s">
        <v>897</v>
      </c>
      <c r="B1104" s="9" t="s">
        <v>291</v>
      </c>
      <c r="C1104" s="4">
        <v>201002586</v>
      </c>
      <c r="D1104" s="4" t="s">
        <v>903</v>
      </c>
      <c r="E1104" s="4" t="str">
        <f>"051322010"</f>
        <v>051322010</v>
      </c>
      <c r="F1104" s="10">
        <v>40263</v>
      </c>
      <c r="G1104" s="11">
        <v>25000</v>
      </c>
      <c r="H1104" s="11">
        <v>25000</v>
      </c>
      <c r="I1104" s="4" t="s">
        <v>38</v>
      </c>
      <c r="J1104" s="4" t="s">
        <v>39</v>
      </c>
      <c r="K1104" s="11">
        <v>0</v>
      </c>
      <c r="L1104" s="4"/>
      <c r="M1104" s="4"/>
      <c r="N1104" s="11">
        <v>0</v>
      </c>
      <c r="O1104" s="4"/>
      <c r="P1104" s="4"/>
      <c r="Q1104" s="11">
        <v>0</v>
      </c>
      <c r="R1104" s="4"/>
      <c r="S1104" s="12"/>
    </row>
    <row r="1105" spans="1:19" x14ac:dyDescent="0.25">
      <c r="A1105" s="9" t="s">
        <v>897</v>
      </c>
      <c r="B1105" s="9" t="s">
        <v>291</v>
      </c>
      <c r="C1105" s="4">
        <v>201002794</v>
      </c>
      <c r="D1105" s="4" t="s">
        <v>904</v>
      </c>
      <c r="E1105" s="4" t="str">
        <f>"055052010"</f>
        <v>055052010</v>
      </c>
      <c r="F1105" s="10">
        <v>40281</v>
      </c>
      <c r="G1105" s="11">
        <v>25000</v>
      </c>
      <c r="H1105" s="11">
        <v>25000</v>
      </c>
      <c r="I1105" s="4" t="s">
        <v>905</v>
      </c>
      <c r="J1105" s="4" t="s">
        <v>906</v>
      </c>
      <c r="K1105" s="11">
        <v>0</v>
      </c>
      <c r="L1105" s="4"/>
      <c r="M1105" s="4"/>
      <c r="N1105" s="11">
        <v>0</v>
      </c>
      <c r="O1105" s="4"/>
      <c r="P1105" s="4"/>
      <c r="Q1105" s="11">
        <v>0</v>
      </c>
      <c r="R1105" s="4"/>
      <c r="S1105" s="12"/>
    </row>
    <row r="1106" spans="1:19" x14ac:dyDescent="0.25">
      <c r="A1106" s="9" t="s">
        <v>897</v>
      </c>
      <c r="B1106" s="9" t="s">
        <v>897</v>
      </c>
      <c r="C1106" s="4">
        <v>201002914</v>
      </c>
      <c r="D1106" s="4"/>
      <c r="E1106" s="4" t="str">
        <f>"061862010"</f>
        <v>061862010</v>
      </c>
      <c r="F1106" s="10">
        <v>40296</v>
      </c>
      <c r="G1106" s="11">
        <v>9785</v>
      </c>
      <c r="H1106" s="11">
        <v>9785</v>
      </c>
      <c r="I1106" s="4" t="s">
        <v>23</v>
      </c>
      <c r="J1106" s="4" t="s">
        <v>24</v>
      </c>
      <c r="K1106" s="11">
        <v>0</v>
      </c>
      <c r="L1106" s="4"/>
      <c r="M1106" s="4"/>
      <c r="N1106" s="11">
        <v>0</v>
      </c>
      <c r="O1106" s="4"/>
      <c r="P1106" s="4"/>
      <c r="Q1106" s="11">
        <v>0</v>
      </c>
      <c r="R1106" s="4"/>
      <c r="S1106" s="12"/>
    </row>
    <row r="1107" spans="1:19" x14ac:dyDescent="0.25">
      <c r="A1107" s="9" t="s">
        <v>897</v>
      </c>
      <c r="B1107" s="9" t="s">
        <v>897</v>
      </c>
      <c r="C1107" s="4">
        <v>201002966</v>
      </c>
      <c r="D1107" s="4" t="s">
        <v>907</v>
      </c>
      <c r="E1107" s="4" t="str">
        <f>"061842010"</f>
        <v>061842010</v>
      </c>
      <c r="F1107" s="10">
        <v>40296</v>
      </c>
      <c r="G1107" s="11">
        <v>5700</v>
      </c>
      <c r="H1107" s="11">
        <v>5700</v>
      </c>
      <c r="I1107" s="4" t="s">
        <v>23</v>
      </c>
      <c r="J1107" s="4" t="s">
        <v>24</v>
      </c>
      <c r="K1107" s="11">
        <v>0</v>
      </c>
      <c r="L1107" s="4"/>
      <c r="M1107" s="4"/>
      <c r="N1107" s="11">
        <v>0</v>
      </c>
      <c r="O1107" s="4"/>
      <c r="P1107" s="4"/>
      <c r="Q1107" s="11">
        <v>0</v>
      </c>
      <c r="R1107" s="4"/>
      <c r="S1107" s="12"/>
    </row>
    <row r="1108" spans="1:19" x14ac:dyDescent="0.25">
      <c r="A1108" s="9" t="s">
        <v>897</v>
      </c>
      <c r="B1108" s="9" t="s">
        <v>291</v>
      </c>
      <c r="C1108" s="4">
        <v>201003286</v>
      </c>
      <c r="D1108" s="4" t="s">
        <v>908</v>
      </c>
      <c r="E1108" s="4" t="str">
        <f>"065162010"</f>
        <v>065162010</v>
      </c>
      <c r="F1108" s="10">
        <v>40304</v>
      </c>
      <c r="G1108" s="11">
        <v>175000</v>
      </c>
      <c r="H1108" s="11">
        <v>175000</v>
      </c>
      <c r="I1108" s="4" t="s">
        <v>23</v>
      </c>
      <c r="J1108" s="4" t="s">
        <v>24</v>
      </c>
      <c r="K1108" s="11">
        <v>0</v>
      </c>
      <c r="L1108" s="4"/>
      <c r="M1108" s="4"/>
      <c r="N1108" s="11">
        <v>0</v>
      </c>
      <c r="O1108" s="4"/>
      <c r="P1108" s="4"/>
      <c r="Q1108" s="11">
        <v>0</v>
      </c>
      <c r="R1108" s="4"/>
      <c r="S1108" s="12"/>
    </row>
    <row r="1109" spans="1:19" x14ac:dyDescent="0.25">
      <c r="A1109" s="9" t="s">
        <v>897</v>
      </c>
      <c r="B1109" s="9" t="s">
        <v>291</v>
      </c>
      <c r="C1109" s="4">
        <v>201003972</v>
      </c>
      <c r="D1109" s="4"/>
      <c r="E1109" s="4" t="str">
        <f>"079462010"</f>
        <v>079462010</v>
      </c>
      <c r="F1109" s="10">
        <v>40344</v>
      </c>
      <c r="G1109" s="11">
        <v>5650</v>
      </c>
      <c r="H1109" s="11">
        <v>5650</v>
      </c>
      <c r="I1109" s="4" t="s">
        <v>56</v>
      </c>
      <c r="J1109" s="4" t="s">
        <v>57</v>
      </c>
      <c r="K1109" s="11">
        <v>0</v>
      </c>
      <c r="L1109" s="4"/>
      <c r="M1109" s="4"/>
      <c r="N1109" s="11">
        <v>0</v>
      </c>
      <c r="O1109" s="4"/>
      <c r="P1109" s="4"/>
      <c r="Q1109" s="11">
        <v>0</v>
      </c>
      <c r="R1109" s="4"/>
      <c r="S1109" s="12"/>
    </row>
    <row r="1110" spans="1:19" x14ac:dyDescent="0.25">
      <c r="A1110" s="9" t="s">
        <v>897</v>
      </c>
      <c r="B1110" s="9" t="s">
        <v>195</v>
      </c>
      <c r="C1110" s="4">
        <v>201004052</v>
      </c>
      <c r="D1110" s="4"/>
      <c r="E1110" s="4" t="str">
        <f>"088682010"</f>
        <v>088682010</v>
      </c>
      <c r="F1110" s="10">
        <v>40367</v>
      </c>
      <c r="G1110" s="11">
        <v>9999</v>
      </c>
      <c r="H1110" s="11">
        <v>9999</v>
      </c>
      <c r="I1110" s="4" t="s">
        <v>781</v>
      </c>
      <c r="J1110" s="4" t="s">
        <v>782</v>
      </c>
      <c r="K1110" s="11">
        <v>0</v>
      </c>
      <c r="L1110" s="4"/>
      <c r="M1110" s="4"/>
      <c r="N1110" s="11">
        <v>0</v>
      </c>
      <c r="O1110" s="4"/>
      <c r="P1110" s="4"/>
      <c r="Q1110" s="11">
        <v>0</v>
      </c>
      <c r="R1110" s="4"/>
      <c r="S1110" s="12"/>
    </row>
    <row r="1111" spans="1:19" x14ac:dyDescent="0.25">
      <c r="A1111" s="9" t="s">
        <v>897</v>
      </c>
      <c r="B1111" s="9" t="s">
        <v>291</v>
      </c>
      <c r="C1111" s="4">
        <v>201004204</v>
      </c>
      <c r="D1111" s="4" t="s">
        <v>909</v>
      </c>
      <c r="E1111" s="4" t="str">
        <f>"083742010"</f>
        <v>083742010</v>
      </c>
      <c r="F1111" s="10">
        <v>40354</v>
      </c>
      <c r="G1111" s="11">
        <v>50000</v>
      </c>
      <c r="H1111" s="11">
        <v>50000</v>
      </c>
      <c r="I1111" s="4" t="s">
        <v>23</v>
      </c>
      <c r="J1111" s="4" t="s">
        <v>24</v>
      </c>
      <c r="K1111" s="11">
        <v>0</v>
      </c>
      <c r="L1111" s="4"/>
      <c r="M1111" s="4"/>
      <c r="N1111" s="11">
        <v>0</v>
      </c>
      <c r="O1111" s="4"/>
      <c r="P1111" s="4"/>
      <c r="Q1111" s="11">
        <v>0</v>
      </c>
      <c r="R1111" s="4"/>
      <c r="S1111" s="12"/>
    </row>
    <row r="1112" spans="1:19" x14ac:dyDescent="0.25">
      <c r="A1112" s="9" t="s">
        <v>897</v>
      </c>
      <c r="B1112" s="9" t="s">
        <v>291</v>
      </c>
      <c r="C1112" s="4">
        <v>201004494</v>
      </c>
      <c r="D1112" s="4" t="s">
        <v>910</v>
      </c>
      <c r="E1112" s="4" t="str">
        <f>"089842010"</f>
        <v>089842010</v>
      </c>
      <c r="F1112" s="10">
        <v>40367</v>
      </c>
      <c r="G1112" s="11">
        <v>195000</v>
      </c>
      <c r="H1112" s="11">
        <v>195000</v>
      </c>
      <c r="I1112" s="4" t="s">
        <v>23</v>
      </c>
      <c r="J1112" s="4" t="s">
        <v>24</v>
      </c>
      <c r="K1112" s="11">
        <v>0</v>
      </c>
      <c r="L1112" s="4"/>
      <c r="M1112" s="4"/>
      <c r="N1112" s="11">
        <v>0</v>
      </c>
      <c r="O1112" s="4"/>
      <c r="P1112" s="4"/>
      <c r="Q1112" s="11">
        <v>0</v>
      </c>
      <c r="R1112" s="4"/>
      <c r="S1112" s="12"/>
    </row>
    <row r="1113" spans="1:19" x14ac:dyDescent="0.25">
      <c r="A1113" s="9" t="s">
        <v>897</v>
      </c>
      <c r="B1113" s="9" t="s">
        <v>195</v>
      </c>
      <c r="C1113" s="4">
        <v>201004619</v>
      </c>
      <c r="D1113" s="4" t="s">
        <v>911</v>
      </c>
      <c r="E1113" s="4" t="str">
        <f>"105452010"</f>
        <v>105452010</v>
      </c>
      <c r="F1113" s="10">
        <v>40415</v>
      </c>
      <c r="G1113" s="11">
        <v>3574648.06</v>
      </c>
      <c r="H1113" s="11">
        <v>3524648.06</v>
      </c>
      <c r="I1113" s="4" t="s">
        <v>912</v>
      </c>
      <c r="J1113" s="4" t="s">
        <v>913</v>
      </c>
      <c r="K1113" s="11">
        <v>50000</v>
      </c>
      <c r="L1113" s="4" t="s">
        <v>912</v>
      </c>
      <c r="M1113" s="4" t="s">
        <v>913</v>
      </c>
      <c r="N1113" s="11">
        <v>0</v>
      </c>
      <c r="O1113" s="4"/>
      <c r="P1113" s="4"/>
      <c r="Q1113" s="11">
        <v>0</v>
      </c>
      <c r="R1113" s="4"/>
      <c r="S1113" s="12"/>
    </row>
    <row r="1114" spans="1:19" x14ac:dyDescent="0.25">
      <c r="A1114" s="9" t="s">
        <v>897</v>
      </c>
      <c r="B1114" s="9" t="s">
        <v>291</v>
      </c>
      <c r="C1114" s="4">
        <v>201004954</v>
      </c>
      <c r="D1114" s="4" t="s">
        <v>914</v>
      </c>
      <c r="E1114" s="4" t="str">
        <f>"099272010"</f>
        <v>099272010</v>
      </c>
      <c r="F1114" s="10">
        <v>40396</v>
      </c>
      <c r="G1114" s="11">
        <v>227.5</v>
      </c>
      <c r="H1114" s="11">
        <v>0</v>
      </c>
      <c r="I1114" s="4"/>
      <c r="J1114" s="4"/>
      <c r="K1114" s="11">
        <v>0</v>
      </c>
      <c r="L1114" s="4"/>
      <c r="M1114" s="4"/>
      <c r="N1114" s="11">
        <v>227.5</v>
      </c>
      <c r="O1114" s="4" t="s">
        <v>56</v>
      </c>
      <c r="P1114" s="4" t="s">
        <v>57</v>
      </c>
      <c r="Q1114" s="11">
        <v>0</v>
      </c>
      <c r="R1114" s="4"/>
      <c r="S1114" s="12"/>
    </row>
    <row r="1115" spans="1:19" x14ac:dyDescent="0.25">
      <c r="A1115" s="9" t="s">
        <v>897</v>
      </c>
      <c r="B1115" s="9" t="s">
        <v>291</v>
      </c>
      <c r="C1115" s="4">
        <v>201004961</v>
      </c>
      <c r="D1115" s="4" t="s">
        <v>915</v>
      </c>
      <c r="E1115" s="4" t="str">
        <f>"099752010"</f>
        <v>099752010</v>
      </c>
      <c r="F1115" s="10">
        <v>40401</v>
      </c>
      <c r="G1115" s="11">
        <v>75000</v>
      </c>
      <c r="H1115" s="11">
        <v>75000</v>
      </c>
      <c r="I1115" s="4" t="s">
        <v>781</v>
      </c>
      <c r="J1115" s="4" t="s">
        <v>782</v>
      </c>
      <c r="K1115" s="11">
        <v>0</v>
      </c>
      <c r="L1115" s="4"/>
      <c r="M1115" s="4"/>
      <c r="N1115" s="11">
        <v>0</v>
      </c>
      <c r="O1115" s="4"/>
      <c r="P1115" s="4"/>
      <c r="Q1115" s="11">
        <v>0</v>
      </c>
      <c r="R1115" s="4"/>
      <c r="S1115" s="12"/>
    </row>
    <row r="1116" spans="1:19" x14ac:dyDescent="0.25">
      <c r="A1116" s="9" t="s">
        <v>897</v>
      </c>
      <c r="B1116" s="9" t="s">
        <v>291</v>
      </c>
      <c r="C1116" s="4">
        <v>201005283</v>
      </c>
      <c r="D1116" s="4"/>
      <c r="E1116" s="4" t="str">
        <f>"112102010"</f>
        <v>112102010</v>
      </c>
      <c r="F1116" s="10">
        <v>40443</v>
      </c>
      <c r="G1116" s="11">
        <v>245206</v>
      </c>
      <c r="H1116" s="11">
        <v>245206</v>
      </c>
      <c r="I1116" s="4" t="s">
        <v>38</v>
      </c>
      <c r="J1116" s="4" t="s">
        <v>39</v>
      </c>
      <c r="K1116" s="11">
        <v>0</v>
      </c>
      <c r="L1116" s="4"/>
      <c r="M1116" s="4"/>
      <c r="N1116" s="11">
        <v>0</v>
      </c>
      <c r="O1116" s="4"/>
      <c r="P1116" s="4"/>
      <c r="Q1116" s="11">
        <v>0</v>
      </c>
      <c r="R1116" s="4"/>
      <c r="S1116" s="12"/>
    </row>
    <row r="1117" spans="1:19" x14ac:dyDescent="0.25">
      <c r="A1117" s="9" t="s">
        <v>897</v>
      </c>
      <c r="B1117" s="9" t="s">
        <v>291</v>
      </c>
      <c r="C1117" s="4">
        <v>201005569</v>
      </c>
      <c r="D1117" s="4"/>
      <c r="E1117" s="4" t="str">
        <f>"115272010"</f>
        <v>115272010</v>
      </c>
      <c r="F1117" s="10">
        <v>40450</v>
      </c>
      <c r="G1117" s="11">
        <v>1612349</v>
      </c>
      <c r="H1117" s="11">
        <v>1612349</v>
      </c>
      <c r="I1117" s="4" t="s">
        <v>142</v>
      </c>
      <c r="J1117" s="4" t="s">
        <v>143</v>
      </c>
      <c r="K1117" s="11">
        <v>0</v>
      </c>
      <c r="L1117" s="4"/>
      <c r="M1117" s="4"/>
      <c r="N1117" s="11">
        <v>0</v>
      </c>
      <c r="O1117" s="4"/>
      <c r="P1117" s="4"/>
      <c r="Q1117" s="11">
        <v>0</v>
      </c>
      <c r="R1117" s="4"/>
      <c r="S1117" s="12"/>
    </row>
    <row r="1118" spans="1:19" x14ac:dyDescent="0.25">
      <c r="A1118" s="9" t="s">
        <v>916</v>
      </c>
      <c r="B1118" s="9" t="s">
        <v>291</v>
      </c>
      <c r="C1118" s="4">
        <v>200905147</v>
      </c>
      <c r="D1118" s="4" t="s">
        <v>917</v>
      </c>
      <c r="E1118" s="4" t="str">
        <f>"087972009"</f>
        <v>087972009</v>
      </c>
      <c r="F1118" s="10">
        <v>40094</v>
      </c>
      <c r="G1118" s="11">
        <v>3750</v>
      </c>
      <c r="H1118" s="11">
        <v>3750</v>
      </c>
      <c r="I1118" s="4" t="s">
        <v>54</v>
      </c>
      <c r="J1118" s="4" t="s">
        <v>55</v>
      </c>
      <c r="K1118" s="11">
        <v>0</v>
      </c>
      <c r="L1118" s="4"/>
      <c r="M1118" s="4"/>
      <c r="N1118" s="11">
        <v>0</v>
      </c>
      <c r="O1118" s="4"/>
      <c r="P1118" s="4"/>
      <c r="Q1118" s="11">
        <v>0</v>
      </c>
      <c r="R1118" s="4"/>
      <c r="S1118" s="12"/>
    </row>
    <row r="1119" spans="1:19" x14ac:dyDescent="0.25">
      <c r="A1119" s="9" t="s">
        <v>916</v>
      </c>
      <c r="B1119" s="9" t="s">
        <v>916</v>
      </c>
      <c r="C1119" s="4">
        <v>201000208</v>
      </c>
      <c r="D1119" s="4" t="s">
        <v>918</v>
      </c>
      <c r="E1119" s="4" t="str">
        <f>"027902010"</f>
        <v>027902010</v>
      </c>
      <c r="F1119" s="10">
        <v>40186</v>
      </c>
      <c r="G1119" s="11">
        <v>111000</v>
      </c>
      <c r="H1119" s="11">
        <v>111000</v>
      </c>
      <c r="I1119" s="4" t="s">
        <v>98</v>
      </c>
      <c r="J1119" s="4" t="s">
        <v>99</v>
      </c>
      <c r="K1119" s="11">
        <v>0</v>
      </c>
      <c r="L1119" s="4"/>
      <c r="M1119" s="4"/>
      <c r="N1119" s="11">
        <v>0</v>
      </c>
      <c r="O1119" s="4"/>
      <c r="P1119" s="4"/>
      <c r="Q1119" s="11">
        <v>0</v>
      </c>
      <c r="R1119" s="4"/>
      <c r="S1119" s="12"/>
    </row>
    <row r="1120" spans="1:19" x14ac:dyDescent="0.25">
      <c r="A1120" s="9" t="s">
        <v>916</v>
      </c>
      <c r="B1120" s="9" t="s">
        <v>291</v>
      </c>
      <c r="C1120" s="4">
        <v>201000922</v>
      </c>
      <c r="D1120" s="4"/>
      <c r="E1120" s="4" t="str">
        <f>"018432010"</f>
        <v>018432010</v>
      </c>
      <c r="F1120" s="10">
        <v>40154</v>
      </c>
      <c r="G1120" s="11">
        <v>150312.99</v>
      </c>
      <c r="H1120" s="11">
        <v>150000</v>
      </c>
      <c r="I1120" s="4" t="s">
        <v>142</v>
      </c>
      <c r="J1120" s="4" t="s">
        <v>143</v>
      </c>
      <c r="K1120" s="11">
        <v>0</v>
      </c>
      <c r="L1120" s="4"/>
      <c r="M1120" s="4"/>
      <c r="N1120" s="11">
        <v>0</v>
      </c>
      <c r="O1120" s="4"/>
      <c r="P1120" s="4"/>
      <c r="Q1120" s="11">
        <v>312.99</v>
      </c>
      <c r="R1120" s="4" t="s">
        <v>142</v>
      </c>
      <c r="S1120" s="12" t="s">
        <v>143</v>
      </c>
    </row>
    <row r="1121" spans="1:19" x14ac:dyDescent="0.25">
      <c r="A1121" s="9" t="s">
        <v>916</v>
      </c>
      <c r="B1121" s="9" t="s">
        <v>291</v>
      </c>
      <c r="C1121" s="4">
        <v>201001069</v>
      </c>
      <c r="D1121" s="4"/>
      <c r="E1121" s="4" t="str">
        <f>"020822010"</f>
        <v>020822010</v>
      </c>
      <c r="F1121" s="10">
        <v>40165</v>
      </c>
      <c r="G1121" s="11">
        <v>53391.25</v>
      </c>
      <c r="H1121" s="11">
        <v>53391.25</v>
      </c>
      <c r="I1121" s="4" t="s">
        <v>88</v>
      </c>
      <c r="J1121" s="4" t="s">
        <v>89</v>
      </c>
      <c r="K1121" s="11">
        <v>0</v>
      </c>
      <c r="L1121" s="4"/>
      <c r="M1121" s="4"/>
      <c r="N1121" s="11">
        <v>0</v>
      </c>
      <c r="O1121" s="4"/>
      <c r="P1121" s="4"/>
      <c r="Q1121" s="11">
        <v>0</v>
      </c>
      <c r="R1121" s="4"/>
      <c r="S1121" s="12"/>
    </row>
    <row r="1122" spans="1:19" x14ac:dyDescent="0.25">
      <c r="A1122" s="9" t="s">
        <v>916</v>
      </c>
      <c r="B1122" s="9" t="s">
        <v>916</v>
      </c>
      <c r="C1122" s="4">
        <v>201001199</v>
      </c>
      <c r="D1122" s="4" t="s">
        <v>919</v>
      </c>
      <c r="E1122" s="4" t="str">
        <f>"023312010"</f>
        <v>023312010</v>
      </c>
      <c r="F1122" s="10">
        <v>40165</v>
      </c>
      <c r="G1122" s="11">
        <v>3744633.97</v>
      </c>
      <c r="H1122" s="11">
        <v>3678311</v>
      </c>
      <c r="I1122" s="4" t="s">
        <v>98</v>
      </c>
      <c r="J1122" s="4" t="s">
        <v>99</v>
      </c>
      <c r="K1122" s="11">
        <v>0</v>
      </c>
      <c r="L1122" s="4"/>
      <c r="M1122" s="4"/>
      <c r="N1122" s="11">
        <v>0</v>
      </c>
      <c r="O1122" s="4"/>
      <c r="P1122" s="4"/>
      <c r="Q1122" s="11">
        <v>66322.97</v>
      </c>
      <c r="R1122" s="4" t="s">
        <v>98</v>
      </c>
      <c r="S1122" s="12" t="s">
        <v>99</v>
      </c>
    </row>
    <row r="1123" spans="1:19" x14ac:dyDescent="0.25">
      <c r="A1123" s="9" t="s">
        <v>916</v>
      </c>
      <c r="B1123" s="9" t="s">
        <v>916</v>
      </c>
      <c r="C1123" s="4">
        <v>201001214</v>
      </c>
      <c r="D1123" s="4" t="s">
        <v>920</v>
      </c>
      <c r="E1123" s="4" t="str">
        <f>"023852010"</f>
        <v>023852010</v>
      </c>
      <c r="F1123" s="10">
        <v>40170</v>
      </c>
      <c r="G1123" s="11">
        <v>1001393</v>
      </c>
      <c r="H1123" s="11">
        <v>1001393</v>
      </c>
      <c r="I1123" s="4" t="s">
        <v>98</v>
      </c>
      <c r="J1123" s="4" t="s">
        <v>99</v>
      </c>
      <c r="K1123" s="11">
        <v>0</v>
      </c>
      <c r="L1123" s="4"/>
      <c r="M1123" s="4"/>
      <c r="N1123" s="11">
        <v>0</v>
      </c>
      <c r="O1123" s="4"/>
      <c r="P1123" s="4"/>
      <c r="Q1123" s="11">
        <v>0</v>
      </c>
      <c r="R1123" s="4"/>
      <c r="S1123" s="12"/>
    </row>
    <row r="1124" spans="1:19" x14ac:dyDescent="0.25">
      <c r="A1124" s="9" t="s">
        <v>916</v>
      </c>
      <c r="B1124" s="9" t="s">
        <v>291</v>
      </c>
      <c r="C1124" s="4">
        <v>201001226</v>
      </c>
      <c r="D1124" s="4"/>
      <c r="E1124" s="4" t="str">
        <f>"024312010"</f>
        <v>024312010</v>
      </c>
      <c r="F1124" s="10">
        <v>40175</v>
      </c>
      <c r="G1124" s="11">
        <v>166915.67000000001</v>
      </c>
      <c r="H1124" s="11">
        <v>163492.32</v>
      </c>
      <c r="I1124" s="4" t="s">
        <v>142</v>
      </c>
      <c r="J1124" s="4" t="s">
        <v>143</v>
      </c>
      <c r="K1124" s="11">
        <v>0</v>
      </c>
      <c r="L1124" s="4"/>
      <c r="M1124" s="4"/>
      <c r="N1124" s="11">
        <v>0</v>
      </c>
      <c r="O1124" s="4"/>
      <c r="P1124" s="4"/>
      <c r="Q1124" s="11">
        <v>3423.35</v>
      </c>
      <c r="R1124" s="4" t="s">
        <v>142</v>
      </c>
      <c r="S1124" s="12" t="s">
        <v>143</v>
      </c>
    </row>
    <row r="1125" spans="1:19" x14ac:dyDescent="0.25">
      <c r="A1125" s="9" t="s">
        <v>916</v>
      </c>
      <c r="B1125" s="9" t="s">
        <v>291</v>
      </c>
      <c r="C1125" s="4">
        <v>201001227</v>
      </c>
      <c r="D1125" s="4"/>
      <c r="E1125" s="4" t="str">
        <f>"024332010"</f>
        <v>024332010</v>
      </c>
      <c r="F1125" s="10">
        <v>40175</v>
      </c>
      <c r="G1125" s="11">
        <v>316260.90000000002</v>
      </c>
      <c r="H1125" s="11">
        <v>316260.90000000002</v>
      </c>
      <c r="I1125" s="4" t="s">
        <v>142</v>
      </c>
      <c r="J1125" s="4" t="s">
        <v>143</v>
      </c>
      <c r="K1125" s="11">
        <v>0</v>
      </c>
      <c r="L1125" s="4"/>
      <c r="M1125" s="4"/>
      <c r="N1125" s="11">
        <v>0</v>
      </c>
      <c r="O1125" s="4"/>
      <c r="P1125" s="4"/>
      <c r="Q1125" s="11">
        <v>0</v>
      </c>
      <c r="R1125" s="4"/>
      <c r="S1125" s="12"/>
    </row>
    <row r="1126" spans="1:19" x14ac:dyDescent="0.25">
      <c r="A1126" s="9" t="s">
        <v>916</v>
      </c>
      <c r="B1126" s="9" t="s">
        <v>291</v>
      </c>
      <c r="C1126" s="4">
        <v>201001302</v>
      </c>
      <c r="D1126" s="4" t="s">
        <v>921</v>
      </c>
      <c r="E1126" s="4" t="str">
        <f>"025852010"</f>
        <v>025852010</v>
      </c>
      <c r="F1126" s="10">
        <v>40186</v>
      </c>
      <c r="G1126" s="11">
        <v>17500</v>
      </c>
      <c r="H1126" s="11">
        <v>17500</v>
      </c>
      <c r="I1126" s="4" t="s">
        <v>30</v>
      </c>
      <c r="J1126" s="4" t="s">
        <v>31</v>
      </c>
      <c r="K1126" s="11">
        <v>0</v>
      </c>
      <c r="L1126" s="4"/>
      <c r="M1126" s="4"/>
      <c r="N1126" s="11">
        <v>0</v>
      </c>
      <c r="O1126" s="4"/>
      <c r="P1126" s="4"/>
      <c r="Q1126" s="11">
        <v>0</v>
      </c>
      <c r="R1126" s="4"/>
      <c r="S1126" s="12"/>
    </row>
    <row r="1127" spans="1:19" x14ac:dyDescent="0.25">
      <c r="A1127" s="9" t="s">
        <v>916</v>
      </c>
      <c r="B1127" s="9" t="s">
        <v>916</v>
      </c>
      <c r="C1127" s="4">
        <v>201001323</v>
      </c>
      <c r="D1127" s="4" t="s">
        <v>922</v>
      </c>
      <c r="E1127" s="4" t="str">
        <f>"025552010"</f>
        <v>025552010</v>
      </c>
      <c r="F1127" s="10">
        <v>40177</v>
      </c>
      <c r="G1127" s="11">
        <v>4836280.82</v>
      </c>
      <c r="H1127" s="11">
        <v>4750000</v>
      </c>
      <c r="I1127" s="4" t="s">
        <v>98</v>
      </c>
      <c r="J1127" s="4" t="s">
        <v>99</v>
      </c>
      <c r="K1127" s="11">
        <v>0</v>
      </c>
      <c r="L1127" s="4"/>
      <c r="M1127" s="4"/>
      <c r="N1127" s="11">
        <v>0</v>
      </c>
      <c r="O1127" s="4"/>
      <c r="P1127" s="4"/>
      <c r="Q1127" s="11">
        <v>86280.82</v>
      </c>
      <c r="R1127" s="4" t="s">
        <v>98</v>
      </c>
      <c r="S1127" s="12" t="s">
        <v>99</v>
      </c>
    </row>
    <row r="1128" spans="1:19" x14ac:dyDescent="0.25">
      <c r="A1128" s="9" t="s">
        <v>916</v>
      </c>
      <c r="B1128" s="9" t="s">
        <v>291</v>
      </c>
      <c r="C1128" s="4">
        <v>201001472</v>
      </c>
      <c r="D1128" s="4" t="s">
        <v>923</v>
      </c>
      <c r="E1128" s="4" t="str">
        <f>"032802010"</f>
        <v>032802010</v>
      </c>
      <c r="F1128" s="10">
        <v>40200</v>
      </c>
      <c r="G1128" s="11">
        <v>20000</v>
      </c>
      <c r="H1128" s="11">
        <v>20000</v>
      </c>
      <c r="I1128" s="4" t="s">
        <v>38</v>
      </c>
      <c r="J1128" s="4" t="s">
        <v>39</v>
      </c>
      <c r="K1128" s="11">
        <v>0</v>
      </c>
      <c r="L1128" s="4"/>
      <c r="M1128" s="4"/>
      <c r="N1128" s="11">
        <v>0</v>
      </c>
      <c r="O1128" s="4"/>
      <c r="P1128" s="4"/>
      <c r="Q1128" s="11">
        <v>0</v>
      </c>
      <c r="R1128" s="4"/>
      <c r="S1128" s="12"/>
    </row>
    <row r="1129" spans="1:19" x14ac:dyDescent="0.25">
      <c r="A1129" s="9" t="s">
        <v>916</v>
      </c>
      <c r="B1129" s="9" t="s">
        <v>291</v>
      </c>
      <c r="C1129" s="4">
        <v>201001548</v>
      </c>
      <c r="D1129" s="4"/>
      <c r="E1129" s="4" t="str">
        <f>"030532010"</f>
        <v>030532010</v>
      </c>
      <c r="F1129" s="10">
        <v>40192</v>
      </c>
      <c r="G1129" s="11">
        <v>47151.35</v>
      </c>
      <c r="H1129" s="11">
        <v>47151.35</v>
      </c>
      <c r="I1129" s="4" t="s">
        <v>142</v>
      </c>
      <c r="J1129" s="4" t="s">
        <v>143</v>
      </c>
      <c r="K1129" s="11">
        <v>0</v>
      </c>
      <c r="L1129" s="4"/>
      <c r="M1129" s="4"/>
      <c r="N1129" s="11">
        <v>0</v>
      </c>
      <c r="O1129" s="4"/>
      <c r="P1129" s="4"/>
      <c r="Q1129" s="11">
        <v>0</v>
      </c>
      <c r="R1129" s="4"/>
      <c r="S1129" s="12"/>
    </row>
    <row r="1130" spans="1:19" x14ac:dyDescent="0.25">
      <c r="A1130" s="9" t="s">
        <v>916</v>
      </c>
      <c r="B1130" s="9" t="s">
        <v>291</v>
      </c>
      <c r="C1130" s="4">
        <v>201001867</v>
      </c>
      <c r="D1130" s="4" t="s">
        <v>924</v>
      </c>
      <c r="E1130" s="4" t="str">
        <f>"038902010"</f>
        <v>038902010</v>
      </c>
      <c r="F1130" s="10">
        <v>40228</v>
      </c>
      <c r="G1130" s="11">
        <v>16373.75</v>
      </c>
      <c r="H1130" s="11">
        <v>16373.75</v>
      </c>
      <c r="I1130" s="4" t="s">
        <v>98</v>
      </c>
      <c r="J1130" s="4" t="s">
        <v>99</v>
      </c>
      <c r="K1130" s="11">
        <v>0</v>
      </c>
      <c r="L1130" s="4"/>
      <c r="M1130" s="4"/>
      <c r="N1130" s="11">
        <v>0</v>
      </c>
      <c r="O1130" s="4"/>
      <c r="P1130" s="4"/>
      <c r="Q1130" s="11">
        <v>0</v>
      </c>
      <c r="R1130" s="4"/>
      <c r="S1130" s="12"/>
    </row>
    <row r="1131" spans="1:19" x14ac:dyDescent="0.25">
      <c r="A1131" s="9" t="s">
        <v>916</v>
      </c>
      <c r="B1131" s="9" t="s">
        <v>291</v>
      </c>
      <c r="C1131" s="4">
        <v>201001867</v>
      </c>
      <c r="D1131" s="4" t="s">
        <v>924</v>
      </c>
      <c r="E1131" s="4" t="str">
        <f>"038922010"</f>
        <v>038922010</v>
      </c>
      <c r="F1131" s="10">
        <v>40228</v>
      </c>
      <c r="G1131" s="11">
        <v>281934.76</v>
      </c>
      <c r="H1131" s="11">
        <v>214801</v>
      </c>
      <c r="I1131" s="4" t="s">
        <v>98</v>
      </c>
      <c r="J1131" s="4" t="s">
        <v>99</v>
      </c>
      <c r="K1131" s="11">
        <v>0</v>
      </c>
      <c r="L1131" s="4"/>
      <c r="M1131" s="4"/>
      <c r="N1131" s="11">
        <v>0</v>
      </c>
      <c r="O1131" s="4"/>
      <c r="P1131" s="4"/>
      <c r="Q1131" s="11">
        <v>67133.759999999995</v>
      </c>
      <c r="R1131" s="4" t="s">
        <v>98</v>
      </c>
      <c r="S1131" s="12" t="s">
        <v>99</v>
      </c>
    </row>
    <row r="1132" spans="1:19" x14ac:dyDescent="0.25">
      <c r="A1132" s="9" t="s">
        <v>916</v>
      </c>
      <c r="B1132" s="9" t="s">
        <v>291</v>
      </c>
      <c r="C1132" s="4">
        <v>201001867</v>
      </c>
      <c r="D1132" s="4" t="s">
        <v>924</v>
      </c>
      <c r="E1132" s="4" t="str">
        <f>"038942010"</f>
        <v>038942010</v>
      </c>
      <c r="F1132" s="10">
        <v>40228</v>
      </c>
      <c r="G1132" s="11">
        <v>0</v>
      </c>
      <c r="H1132" s="11">
        <v>59197.45</v>
      </c>
      <c r="I1132" s="4" t="s">
        <v>98</v>
      </c>
      <c r="J1132" s="4" t="s">
        <v>99</v>
      </c>
      <c r="K1132" s="11">
        <v>0</v>
      </c>
      <c r="L1132" s="4"/>
      <c r="M1132" s="4"/>
      <c r="N1132" s="11">
        <v>0</v>
      </c>
      <c r="O1132" s="4"/>
      <c r="P1132" s="4"/>
      <c r="Q1132" s="11">
        <v>18501</v>
      </c>
      <c r="R1132" s="4" t="s">
        <v>98</v>
      </c>
      <c r="S1132" s="12" t="s">
        <v>99</v>
      </c>
    </row>
    <row r="1133" spans="1:19" x14ac:dyDescent="0.25">
      <c r="A1133" s="9" t="s">
        <v>916</v>
      </c>
      <c r="B1133" s="9" t="s">
        <v>291</v>
      </c>
      <c r="C1133" s="4">
        <v>201001894</v>
      </c>
      <c r="D1133" s="4" t="s">
        <v>925</v>
      </c>
      <c r="E1133" s="4" t="str">
        <f>"042492010"</f>
        <v>042492010</v>
      </c>
      <c r="F1133" s="10">
        <v>40240</v>
      </c>
      <c r="G1133" s="11">
        <v>77751.7</v>
      </c>
      <c r="H1133" s="11">
        <v>59197.45</v>
      </c>
      <c r="I1133" s="4" t="s">
        <v>98</v>
      </c>
      <c r="J1133" s="4" t="s">
        <v>99</v>
      </c>
      <c r="K1133" s="11">
        <v>0</v>
      </c>
      <c r="L1133" s="4"/>
      <c r="M1133" s="4"/>
      <c r="N1133" s="11">
        <v>0</v>
      </c>
      <c r="O1133" s="4"/>
      <c r="P1133" s="4"/>
      <c r="Q1133" s="11">
        <v>18554.25</v>
      </c>
      <c r="R1133" s="4" t="s">
        <v>98</v>
      </c>
      <c r="S1133" s="12" t="s">
        <v>99</v>
      </c>
    </row>
    <row r="1134" spans="1:19" x14ac:dyDescent="0.25">
      <c r="A1134" s="9" t="s">
        <v>916</v>
      </c>
      <c r="B1134" s="9" t="s">
        <v>291</v>
      </c>
      <c r="C1134" s="4">
        <v>201002050</v>
      </c>
      <c r="D1134" s="4" t="s">
        <v>926</v>
      </c>
      <c r="E1134" s="4" t="str">
        <f>"040402010"</f>
        <v>040402010</v>
      </c>
      <c r="F1134" s="10">
        <v>40234</v>
      </c>
      <c r="G1134" s="11">
        <v>327943.21000000002</v>
      </c>
      <c r="H1134" s="11">
        <v>0</v>
      </c>
      <c r="I1134" s="4"/>
      <c r="J1134" s="4"/>
      <c r="K1134" s="11">
        <v>0</v>
      </c>
      <c r="L1134" s="4"/>
      <c r="M1134" s="4"/>
      <c r="N1134" s="11">
        <v>327943.21000000002</v>
      </c>
      <c r="O1134" s="4" t="s">
        <v>344</v>
      </c>
      <c r="P1134" s="4" t="s">
        <v>345</v>
      </c>
      <c r="Q1134" s="11">
        <v>0</v>
      </c>
      <c r="R1134" s="4"/>
      <c r="S1134" s="12"/>
    </row>
    <row r="1135" spans="1:19" x14ac:dyDescent="0.25">
      <c r="A1135" s="9" t="s">
        <v>916</v>
      </c>
      <c r="B1135" s="9" t="s">
        <v>291</v>
      </c>
      <c r="C1135" s="4">
        <v>201002208</v>
      </c>
      <c r="D1135" s="4"/>
      <c r="E1135" s="4" t="str">
        <f>"044052010"</f>
        <v>044052010</v>
      </c>
      <c r="F1135" s="10">
        <v>40240</v>
      </c>
      <c r="G1135" s="11">
        <v>30541.45</v>
      </c>
      <c r="H1135" s="11">
        <v>29899.22</v>
      </c>
      <c r="I1135" s="4" t="s">
        <v>142</v>
      </c>
      <c r="J1135" s="4" t="s">
        <v>143</v>
      </c>
      <c r="K1135" s="11">
        <v>0</v>
      </c>
      <c r="L1135" s="4"/>
      <c r="M1135" s="4"/>
      <c r="N1135" s="11">
        <v>0</v>
      </c>
      <c r="O1135" s="4"/>
      <c r="P1135" s="4"/>
      <c r="Q1135" s="11">
        <v>642.23</v>
      </c>
      <c r="R1135" s="4" t="s">
        <v>142</v>
      </c>
      <c r="S1135" s="12" t="s">
        <v>143</v>
      </c>
    </row>
    <row r="1136" spans="1:19" x14ac:dyDescent="0.25">
      <c r="A1136" s="9" t="s">
        <v>916</v>
      </c>
      <c r="B1136" s="9" t="s">
        <v>291</v>
      </c>
      <c r="C1136" s="4">
        <v>201002210</v>
      </c>
      <c r="D1136" s="4"/>
      <c r="E1136" s="4" t="str">
        <f>"044922010"</f>
        <v>044922010</v>
      </c>
      <c r="F1136" s="10">
        <v>40242</v>
      </c>
      <c r="G1136" s="11">
        <v>182224.43</v>
      </c>
      <c r="H1136" s="11">
        <v>182123.84</v>
      </c>
      <c r="I1136" s="4" t="s">
        <v>142</v>
      </c>
      <c r="J1136" s="4" t="s">
        <v>143</v>
      </c>
      <c r="K1136" s="11">
        <v>0</v>
      </c>
      <c r="L1136" s="4"/>
      <c r="M1136" s="4"/>
      <c r="N1136" s="11">
        <v>0</v>
      </c>
      <c r="O1136" s="4"/>
      <c r="P1136" s="4"/>
      <c r="Q1136" s="11">
        <v>100.59</v>
      </c>
      <c r="R1136" s="4" t="s">
        <v>142</v>
      </c>
      <c r="S1136" s="12" t="s">
        <v>143</v>
      </c>
    </row>
    <row r="1137" spans="1:19" x14ac:dyDescent="0.25">
      <c r="A1137" s="9" t="s">
        <v>916</v>
      </c>
      <c r="B1137" s="9" t="s">
        <v>916</v>
      </c>
      <c r="C1137" s="4">
        <v>201002330</v>
      </c>
      <c r="D1137" s="4" t="s">
        <v>927</v>
      </c>
      <c r="E1137" s="4" t="str">
        <f>"045742010"</f>
        <v>045742010</v>
      </c>
      <c r="F1137" s="10">
        <v>40252</v>
      </c>
      <c r="G1137" s="11">
        <v>275000</v>
      </c>
      <c r="H1137" s="11">
        <v>275000</v>
      </c>
      <c r="I1137" s="4" t="s">
        <v>98</v>
      </c>
      <c r="J1137" s="4" t="s">
        <v>99</v>
      </c>
      <c r="K1137" s="11">
        <v>0</v>
      </c>
      <c r="L1137" s="4"/>
      <c r="M1137" s="4"/>
      <c r="N1137" s="11">
        <v>0</v>
      </c>
      <c r="O1137" s="4"/>
      <c r="P1137" s="4"/>
      <c r="Q1137" s="11">
        <v>0</v>
      </c>
      <c r="R1137" s="4"/>
      <c r="S1137" s="12"/>
    </row>
    <row r="1138" spans="1:19" x14ac:dyDescent="0.25">
      <c r="A1138" s="9" t="s">
        <v>916</v>
      </c>
      <c r="B1138" s="9" t="s">
        <v>916</v>
      </c>
      <c r="C1138" s="4">
        <v>201002351</v>
      </c>
      <c r="D1138" s="4" t="s">
        <v>928</v>
      </c>
      <c r="E1138" s="4" t="str">
        <f>"048222010"</f>
        <v>048222010</v>
      </c>
      <c r="F1138" s="10">
        <v>40255</v>
      </c>
      <c r="G1138" s="11">
        <v>350000</v>
      </c>
      <c r="H1138" s="11">
        <v>350000</v>
      </c>
      <c r="I1138" s="4" t="s">
        <v>98</v>
      </c>
      <c r="J1138" s="4" t="s">
        <v>99</v>
      </c>
      <c r="K1138" s="11">
        <v>0</v>
      </c>
      <c r="L1138" s="4"/>
      <c r="M1138" s="4"/>
      <c r="N1138" s="11">
        <v>0</v>
      </c>
      <c r="O1138" s="4"/>
      <c r="P1138" s="4"/>
      <c r="Q1138" s="11">
        <v>0</v>
      </c>
      <c r="R1138" s="4"/>
      <c r="S1138" s="12"/>
    </row>
    <row r="1139" spans="1:19" x14ac:dyDescent="0.25">
      <c r="A1139" s="9" t="s">
        <v>916</v>
      </c>
      <c r="B1139" s="9" t="s">
        <v>291</v>
      </c>
      <c r="C1139" s="4">
        <v>201002716</v>
      </c>
      <c r="D1139" s="4" t="s">
        <v>929</v>
      </c>
      <c r="E1139" s="4" t="str">
        <f>"055672010"</f>
        <v>055672010</v>
      </c>
      <c r="F1139" s="10">
        <v>40275</v>
      </c>
      <c r="G1139" s="11">
        <v>40000</v>
      </c>
      <c r="H1139" s="11">
        <v>40000</v>
      </c>
      <c r="I1139" s="4" t="s">
        <v>68</v>
      </c>
      <c r="J1139" s="4" t="s">
        <v>69</v>
      </c>
      <c r="K1139" s="11">
        <v>0</v>
      </c>
      <c r="L1139" s="4"/>
      <c r="M1139" s="4"/>
      <c r="N1139" s="11">
        <v>0</v>
      </c>
      <c r="O1139" s="4"/>
      <c r="P1139" s="4"/>
      <c r="Q1139" s="11">
        <v>0</v>
      </c>
      <c r="R1139" s="4"/>
      <c r="S1139" s="12"/>
    </row>
    <row r="1140" spans="1:19" x14ac:dyDescent="0.25">
      <c r="A1140" s="9" t="s">
        <v>916</v>
      </c>
      <c r="B1140" s="9" t="s">
        <v>291</v>
      </c>
      <c r="C1140" s="4">
        <v>201003044</v>
      </c>
      <c r="D1140" s="4"/>
      <c r="E1140" s="4" t="str">
        <f>"072592010"</f>
        <v>072592010</v>
      </c>
      <c r="F1140" s="10">
        <v>40323</v>
      </c>
      <c r="G1140" s="11">
        <v>77813.86</v>
      </c>
      <c r="H1140" s="11">
        <v>77813.86</v>
      </c>
      <c r="I1140" s="4" t="s">
        <v>283</v>
      </c>
      <c r="J1140" s="4" t="s">
        <v>284</v>
      </c>
      <c r="K1140" s="11">
        <v>0</v>
      </c>
      <c r="L1140" s="4"/>
      <c r="M1140" s="4"/>
      <c r="N1140" s="11">
        <v>0</v>
      </c>
      <c r="O1140" s="4"/>
      <c r="P1140" s="4"/>
      <c r="Q1140" s="11">
        <v>0</v>
      </c>
      <c r="R1140" s="4"/>
      <c r="S1140" s="12"/>
    </row>
    <row r="1141" spans="1:19" x14ac:dyDescent="0.25">
      <c r="A1141" s="9" t="s">
        <v>916</v>
      </c>
      <c r="B1141" s="9" t="s">
        <v>291</v>
      </c>
      <c r="C1141" s="4">
        <v>201003068</v>
      </c>
      <c r="D1141" s="4"/>
      <c r="E1141" s="4" t="str">
        <f>"061242010"</f>
        <v>061242010</v>
      </c>
      <c r="F1141" s="10">
        <v>40291</v>
      </c>
      <c r="G1141" s="11">
        <v>167.5</v>
      </c>
      <c r="H1141" s="11">
        <v>167.5</v>
      </c>
      <c r="I1141" s="4" t="s">
        <v>38</v>
      </c>
      <c r="J1141" s="4" t="s">
        <v>39</v>
      </c>
      <c r="K1141" s="11">
        <v>0</v>
      </c>
      <c r="L1141" s="4"/>
      <c r="M1141" s="4"/>
      <c r="N1141" s="11">
        <v>0</v>
      </c>
      <c r="O1141" s="4"/>
      <c r="P1141" s="4"/>
      <c r="Q1141" s="11">
        <v>0</v>
      </c>
      <c r="R1141" s="4"/>
      <c r="S1141" s="12"/>
    </row>
    <row r="1142" spans="1:19" x14ac:dyDescent="0.25">
      <c r="A1142" s="9" t="s">
        <v>916</v>
      </c>
      <c r="B1142" s="9" t="s">
        <v>916</v>
      </c>
      <c r="C1142" s="4">
        <v>201003208</v>
      </c>
      <c r="D1142" s="4" t="s">
        <v>919</v>
      </c>
      <c r="E1142" s="4" t="str">
        <f>"069622010"</f>
        <v>069622010</v>
      </c>
      <c r="F1142" s="10">
        <v>40315</v>
      </c>
      <c r="G1142" s="11">
        <v>134002.76999999999</v>
      </c>
      <c r="H1142" s="11">
        <v>131325</v>
      </c>
      <c r="I1142" s="4" t="s">
        <v>98</v>
      </c>
      <c r="J1142" s="4" t="s">
        <v>99</v>
      </c>
      <c r="K1142" s="11">
        <v>0</v>
      </c>
      <c r="L1142" s="4"/>
      <c r="M1142" s="4"/>
      <c r="N1142" s="11">
        <v>0</v>
      </c>
      <c r="O1142" s="4"/>
      <c r="P1142" s="4"/>
      <c r="Q1142" s="11">
        <v>2677.77</v>
      </c>
      <c r="R1142" s="4" t="s">
        <v>98</v>
      </c>
      <c r="S1142" s="12" t="s">
        <v>99</v>
      </c>
    </row>
    <row r="1143" spans="1:19" x14ac:dyDescent="0.25">
      <c r="A1143" s="9" t="s">
        <v>916</v>
      </c>
      <c r="B1143" s="9" t="s">
        <v>916</v>
      </c>
      <c r="C1143" s="4">
        <v>201003208</v>
      </c>
      <c r="D1143" s="4" t="s">
        <v>919</v>
      </c>
      <c r="E1143" s="4" t="str">
        <f>"069642010"</f>
        <v>069642010</v>
      </c>
      <c r="F1143" s="10">
        <v>40315</v>
      </c>
      <c r="G1143" s="11">
        <v>5663887.4000000004</v>
      </c>
      <c r="H1143" s="11">
        <v>5154743</v>
      </c>
      <c r="I1143" s="4" t="s">
        <v>98</v>
      </c>
      <c r="J1143" s="4" t="s">
        <v>99</v>
      </c>
      <c r="K1143" s="11">
        <v>0</v>
      </c>
      <c r="L1143" s="4"/>
      <c r="M1143" s="4"/>
      <c r="N1143" s="11">
        <v>0</v>
      </c>
      <c r="O1143" s="4"/>
      <c r="P1143" s="4"/>
      <c r="Q1143" s="11">
        <v>509144.4</v>
      </c>
      <c r="R1143" s="4" t="s">
        <v>98</v>
      </c>
      <c r="S1143" s="12" t="s">
        <v>99</v>
      </c>
    </row>
    <row r="1144" spans="1:19" x14ac:dyDescent="0.25">
      <c r="A1144" s="9" t="s">
        <v>916</v>
      </c>
      <c r="B1144" s="9" t="s">
        <v>291</v>
      </c>
      <c r="C1144" s="4">
        <v>201003347</v>
      </c>
      <c r="D1144" s="4" t="s">
        <v>930</v>
      </c>
      <c r="E1144" s="4" t="str">
        <f>"069662010"</f>
        <v>069662010</v>
      </c>
      <c r="F1144" s="10">
        <v>40324</v>
      </c>
      <c r="G1144" s="11">
        <v>3564459.09</v>
      </c>
      <c r="H1144" s="11">
        <v>3564459.09</v>
      </c>
      <c r="I1144" s="4" t="s">
        <v>283</v>
      </c>
      <c r="J1144" s="4" t="s">
        <v>284</v>
      </c>
      <c r="K1144" s="11">
        <v>0</v>
      </c>
      <c r="L1144" s="4"/>
      <c r="M1144" s="4"/>
      <c r="N1144" s="11">
        <v>0</v>
      </c>
      <c r="O1144" s="4"/>
      <c r="P1144" s="4"/>
      <c r="Q1144" s="11">
        <v>0</v>
      </c>
      <c r="R1144" s="4"/>
      <c r="S1144" s="12"/>
    </row>
    <row r="1145" spans="1:19" x14ac:dyDescent="0.25">
      <c r="A1145" s="9" t="s">
        <v>916</v>
      </c>
      <c r="B1145" s="9" t="s">
        <v>291</v>
      </c>
      <c r="C1145" s="4">
        <v>201003735</v>
      </c>
      <c r="D1145" s="4"/>
      <c r="E1145" s="4" t="str">
        <f>"076372010"</f>
        <v>076372010</v>
      </c>
      <c r="F1145" s="10">
        <v>40333</v>
      </c>
      <c r="G1145" s="11">
        <v>51274.29</v>
      </c>
      <c r="H1145" s="11">
        <v>51274.29</v>
      </c>
      <c r="I1145" s="4" t="s">
        <v>931</v>
      </c>
      <c r="J1145" s="4" t="s">
        <v>932</v>
      </c>
      <c r="K1145" s="11">
        <v>0</v>
      </c>
      <c r="L1145" s="4"/>
      <c r="M1145" s="4"/>
      <c r="N1145" s="11">
        <v>0</v>
      </c>
      <c r="O1145" s="4"/>
      <c r="P1145" s="4"/>
      <c r="Q1145" s="11">
        <v>0</v>
      </c>
      <c r="R1145" s="4"/>
      <c r="S1145" s="12"/>
    </row>
    <row r="1146" spans="1:19" x14ac:dyDescent="0.25">
      <c r="A1146" s="9" t="s">
        <v>916</v>
      </c>
      <c r="B1146" s="9" t="s">
        <v>291</v>
      </c>
      <c r="C1146" s="4">
        <v>201004436</v>
      </c>
      <c r="D1146" s="4" t="s">
        <v>933</v>
      </c>
      <c r="E1146" s="4" t="str">
        <f>"088002010"</f>
        <v>088002010</v>
      </c>
      <c r="F1146" s="10">
        <v>40366</v>
      </c>
      <c r="G1146" s="11">
        <v>871824.62</v>
      </c>
      <c r="H1146" s="11">
        <v>871747</v>
      </c>
      <c r="I1146" s="4" t="s">
        <v>98</v>
      </c>
      <c r="J1146" s="4" t="s">
        <v>99</v>
      </c>
      <c r="K1146" s="11">
        <v>0</v>
      </c>
      <c r="L1146" s="4"/>
      <c r="M1146" s="4"/>
      <c r="N1146" s="11">
        <v>0</v>
      </c>
      <c r="O1146" s="4"/>
      <c r="P1146" s="4"/>
      <c r="Q1146" s="11">
        <v>77.62</v>
      </c>
      <c r="R1146" s="4" t="s">
        <v>98</v>
      </c>
      <c r="S1146" s="12" t="s">
        <v>99</v>
      </c>
    </row>
    <row r="1147" spans="1:19" x14ac:dyDescent="0.25">
      <c r="A1147" s="9" t="s">
        <v>916</v>
      </c>
      <c r="B1147" s="9" t="s">
        <v>916</v>
      </c>
      <c r="C1147" s="4">
        <v>201004471</v>
      </c>
      <c r="D1147" s="4" t="s">
        <v>934</v>
      </c>
      <c r="E1147" s="4" t="str">
        <f>"092322010"</f>
        <v>092322010</v>
      </c>
      <c r="F1147" s="10">
        <v>40373</v>
      </c>
      <c r="G1147" s="11">
        <v>5000000</v>
      </c>
      <c r="H1147" s="11">
        <v>5000000</v>
      </c>
      <c r="I1147" s="4" t="s">
        <v>98</v>
      </c>
      <c r="J1147" s="4" t="s">
        <v>99</v>
      </c>
      <c r="K1147" s="11">
        <v>0</v>
      </c>
      <c r="L1147" s="4"/>
      <c r="M1147" s="4"/>
      <c r="N1147" s="11">
        <v>0</v>
      </c>
      <c r="O1147" s="4"/>
      <c r="P1147" s="4"/>
      <c r="Q1147" s="11">
        <v>0</v>
      </c>
      <c r="R1147" s="4"/>
      <c r="S1147" s="12"/>
    </row>
    <row r="1148" spans="1:19" x14ac:dyDescent="0.25">
      <c r="A1148" s="9" t="s">
        <v>916</v>
      </c>
      <c r="B1148" s="9" t="s">
        <v>291</v>
      </c>
      <c r="C1148" s="4">
        <v>201004590</v>
      </c>
      <c r="D1148" s="4" t="s">
        <v>935</v>
      </c>
      <c r="E1148" s="4" t="str">
        <f>"092902010"</f>
        <v>092902010</v>
      </c>
      <c r="F1148" s="10">
        <v>40374</v>
      </c>
      <c r="G1148" s="11">
        <v>80000</v>
      </c>
      <c r="H1148" s="11">
        <v>80000</v>
      </c>
      <c r="I1148" s="4" t="s">
        <v>38</v>
      </c>
      <c r="J1148" s="4" t="s">
        <v>39</v>
      </c>
      <c r="K1148" s="11">
        <v>0</v>
      </c>
      <c r="L1148" s="4"/>
      <c r="M1148" s="4"/>
      <c r="N1148" s="11">
        <v>0</v>
      </c>
      <c r="O1148" s="4"/>
      <c r="P1148" s="4"/>
      <c r="Q1148" s="11">
        <v>0</v>
      </c>
      <c r="R1148" s="4"/>
      <c r="S1148" s="12"/>
    </row>
    <row r="1149" spans="1:19" x14ac:dyDescent="0.25">
      <c r="A1149" s="9" t="s">
        <v>916</v>
      </c>
      <c r="B1149" s="9" t="s">
        <v>291</v>
      </c>
      <c r="C1149" s="4">
        <v>201004610</v>
      </c>
      <c r="D1149" s="4" t="s">
        <v>926</v>
      </c>
      <c r="E1149" s="4" t="str">
        <f>"092202010"</f>
        <v>092202010</v>
      </c>
      <c r="F1149" s="10">
        <v>40373</v>
      </c>
      <c r="G1149" s="11">
        <v>120330.07</v>
      </c>
      <c r="H1149" s="11">
        <v>120330.07</v>
      </c>
      <c r="I1149" s="4" t="s">
        <v>344</v>
      </c>
      <c r="J1149" s="4" t="s">
        <v>345</v>
      </c>
      <c r="K1149" s="11">
        <v>0</v>
      </c>
      <c r="L1149" s="4"/>
      <c r="M1149" s="4"/>
      <c r="N1149" s="11">
        <v>0</v>
      </c>
      <c r="O1149" s="4"/>
      <c r="P1149" s="4"/>
      <c r="Q1149" s="11">
        <v>0</v>
      </c>
      <c r="R1149" s="4"/>
      <c r="S1149" s="12"/>
    </row>
    <row r="1150" spans="1:19" x14ac:dyDescent="0.25">
      <c r="A1150" s="9" t="s">
        <v>916</v>
      </c>
      <c r="B1150" s="9" t="s">
        <v>291</v>
      </c>
      <c r="C1150" s="4">
        <v>201005078</v>
      </c>
      <c r="D1150" s="4"/>
      <c r="E1150" s="4" t="str">
        <f>"100352010"</f>
        <v>100352010</v>
      </c>
      <c r="F1150" s="10">
        <v>40401</v>
      </c>
      <c r="G1150" s="11">
        <v>5055</v>
      </c>
      <c r="H1150" s="11">
        <v>5055</v>
      </c>
      <c r="I1150" s="4" t="s">
        <v>142</v>
      </c>
      <c r="J1150" s="4" t="s">
        <v>143</v>
      </c>
      <c r="K1150" s="11">
        <v>0</v>
      </c>
      <c r="L1150" s="4"/>
      <c r="M1150" s="4"/>
      <c r="N1150" s="11">
        <v>0</v>
      </c>
      <c r="O1150" s="4"/>
      <c r="P1150" s="4"/>
      <c r="Q1150" s="11">
        <v>0</v>
      </c>
      <c r="R1150" s="4"/>
      <c r="S1150" s="12"/>
    </row>
    <row r="1151" spans="1:19" x14ac:dyDescent="0.25">
      <c r="A1151" s="9" t="s">
        <v>916</v>
      </c>
      <c r="B1151" s="9" t="s">
        <v>291</v>
      </c>
      <c r="C1151" s="4">
        <v>201005081</v>
      </c>
      <c r="D1151" s="4"/>
      <c r="E1151" s="4" t="str">
        <f>"102872010"</f>
        <v>102872010</v>
      </c>
      <c r="F1151" s="10">
        <v>40408</v>
      </c>
      <c r="G1151" s="11">
        <v>1288110.2</v>
      </c>
      <c r="H1151" s="11">
        <v>1288110.2</v>
      </c>
      <c r="I1151" s="4" t="s">
        <v>142</v>
      </c>
      <c r="J1151" s="4" t="s">
        <v>143</v>
      </c>
      <c r="K1151" s="11">
        <v>0</v>
      </c>
      <c r="L1151" s="4"/>
      <c r="M1151" s="4"/>
      <c r="N1151" s="11">
        <v>0</v>
      </c>
      <c r="O1151" s="4"/>
      <c r="P1151" s="4"/>
      <c r="Q1151" s="11">
        <v>0</v>
      </c>
      <c r="R1151" s="4"/>
      <c r="S1151" s="12"/>
    </row>
    <row r="1152" spans="1:19" x14ac:dyDescent="0.25">
      <c r="A1152" s="9" t="s">
        <v>916</v>
      </c>
      <c r="B1152" s="9" t="s">
        <v>291</v>
      </c>
      <c r="C1152" s="4">
        <v>201005088</v>
      </c>
      <c r="D1152" s="4"/>
      <c r="E1152" s="4" t="str">
        <f>"102892010"</f>
        <v>102892010</v>
      </c>
      <c r="F1152" s="10">
        <v>40409</v>
      </c>
      <c r="G1152" s="11">
        <v>3090780.35</v>
      </c>
      <c r="H1152" s="11">
        <v>3090780.35</v>
      </c>
      <c r="I1152" s="4" t="s">
        <v>142</v>
      </c>
      <c r="J1152" s="4" t="s">
        <v>143</v>
      </c>
      <c r="K1152" s="11">
        <v>0</v>
      </c>
      <c r="L1152" s="4"/>
      <c r="M1152" s="4"/>
      <c r="N1152" s="11">
        <v>0</v>
      </c>
      <c r="O1152" s="4"/>
      <c r="P1152" s="4"/>
      <c r="Q1152" s="11">
        <v>0</v>
      </c>
      <c r="R1152" s="4"/>
      <c r="S1152" s="12"/>
    </row>
    <row r="1153" spans="1:19" x14ac:dyDescent="0.25">
      <c r="A1153" s="9" t="s">
        <v>916</v>
      </c>
      <c r="B1153" s="9" t="s">
        <v>291</v>
      </c>
      <c r="C1153" s="4">
        <v>201005188</v>
      </c>
      <c r="D1153" s="4"/>
      <c r="E1153" s="4" t="str">
        <f>"106622010"</f>
        <v>106622010</v>
      </c>
      <c r="F1153" s="10">
        <v>40417</v>
      </c>
      <c r="G1153" s="11">
        <v>494000.79</v>
      </c>
      <c r="H1153" s="11">
        <v>491617.32</v>
      </c>
      <c r="I1153" s="4" t="s">
        <v>142</v>
      </c>
      <c r="J1153" s="4" t="s">
        <v>143</v>
      </c>
      <c r="K1153" s="11">
        <v>0</v>
      </c>
      <c r="L1153" s="4"/>
      <c r="M1153" s="4"/>
      <c r="N1153" s="11">
        <v>0</v>
      </c>
      <c r="O1153" s="4"/>
      <c r="P1153" s="4"/>
      <c r="Q1153" s="11">
        <v>2383.4699999999998</v>
      </c>
      <c r="R1153" s="4" t="s">
        <v>142</v>
      </c>
      <c r="S1153" s="12" t="s">
        <v>143</v>
      </c>
    </row>
    <row r="1154" spans="1:19" x14ac:dyDescent="0.25">
      <c r="A1154" s="9" t="s">
        <v>916</v>
      </c>
      <c r="B1154" s="9" t="s">
        <v>291</v>
      </c>
      <c r="C1154" s="4">
        <v>201005190</v>
      </c>
      <c r="D1154" s="4"/>
      <c r="E1154" s="4" t="str">
        <f>"105412010"</f>
        <v>105412010</v>
      </c>
      <c r="F1154" s="10">
        <v>40414</v>
      </c>
      <c r="G1154" s="11">
        <v>1402.87</v>
      </c>
      <c r="H1154" s="11">
        <v>1396.7</v>
      </c>
      <c r="I1154" s="4" t="s">
        <v>142</v>
      </c>
      <c r="J1154" s="4" t="s">
        <v>143</v>
      </c>
      <c r="K1154" s="11">
        <v>0</v>
      </c>
      <c r="L1154" s="4"/>
      <c r="M1154" s="4"/>
      <c r="N1154" s="11">
        <v>0</v>
      </c>
      <c r="O1154" s="4"/>
      <c r="P1154" s="4"/>
      <c r="Q1154" s="11">
        <v>6.17</v>
      </c>
      <c r="R1154" s="4" t="s">
        <v>142</v>
      </c>
      <c r="S1154" s="12" t="s">
        <v>143</v>
      </c>
    </row>
    <row r="1155" spans="1:19" x14ac:dyDescent="0.25">
      <c r="A1155" s="9" t="s">
        <v>916</v>
      </c>
      <c r="B1155" s="9" t="s">
        <v>291</v>
      </c>
      <c r="C1155" s="4">
        <v>201005192</v>
      </c>
      <c r="D1155" s="4"/>
      <c r="E1155" s="4" t="str">
        <f>"105392010"</f>
        <v>105392010</v>
      </c>
      <c r="F1155" s="10">
        <v>40414</v>
      </c>
      <c r="G1155" s="11">
        <v>173436.42</v>
      </c>
      <c r="H1155" s="11">
        <v>172673.44</v>
      </c>
      <c r="I1155" s="4" t="s">
        <v>142</v>
      </c>
      <c r="J1155" s="4" t="s">
        <v>143</v>
      </c>
      <c r="K1155" s="11">
        <v>0</v>
      </c>
      <c r="L1155" s="4"/>
      <c r="M1155" s="4"/>
      <c r="N1155" s="11">
        <v>0</v>
      </c>
      <c r="O1155" s="4"/>
      <c r="P1155" s="4"/>
      <c r="Q1155" s="11">
        <v>762.98</v>
      </c>
      <c r="R1155" s="4" t="s">
        <v>142</v>
      </c>
      <c r="S1155" s="12" t="s">
        <v>143</v>
      </c>
    </row>
    <row r="1156" spans="1:19" x14ac:dyDescent="0.25">
      <c r="A1156" s="9" t="s">
        <v>916</v>
      </c>
      <c r="B1156" s="9" t="s">
        <v>291</v>
      </c>
      <c r="C1156" s="4">
        <v>201005193</v>
      </c>
      <c r="D1156" s="4"/>
      <c r="E1156" s="4" t="str">
        <f>"105432010"</f>
        <v>105432010</v>
      </c>
      <c r="F1156" s="10">
        <v>40414</v>
      </c>
      <c r="G1156" s="11">
        <v>64088.2</v>
      </c>
      <c r="H1156" s="11">
        <v>63810.16</v>
      </c>
      <c r="I1156" s="4" t="s">
        <v>142</v>
      </c>
      <c r="J1156" s="4" t="s">
        <v>143</v>
      </c>
      <c r="K1156" s="11">
        <v>0</v>
      </c>
      <c r="L1156" s="4"/>
      <c r="M1156" s="4"/>
      <c r="N1156" s="11">
        <v>0</v>
      </c>
      <c r="O1156" s="4"/>
      <c r="P1156" s="4"/>
      <c r="Q1156" s="11">
        <v>278.04000000000002</v>
      </c>
      <c r="R1156" s="4" t="s">
        <v>142</v>
      </c>
      <c r="S1156" s="12" t="s">
        <v>143</v>
      </c>
    </row>
    <row r="1157" spans="1:19" x14ac:dyDescent="0.25">
      <c r="A1157" s="9" t="s">
        <v>916</v>
      </c>
      <c r="B1157" s="9" t="s">
        <v>916</v>
      </c>
      <c r="C1157" s="4">
        <v>201005570</v>
      </c>
      <c r="D1157" s="4" t="s">
        <v>936</v>
      </c>
      <c r="E1157" s="4" t="str">
        <f>"111672010"</f>
        <v>111672010</v>
      </c>
      <c r="F1157" s="10">
        <v>40438</v>
      </c>
      <c r="G1157" s="11">
        <v>1442895.8</v>
      </c>
      <c r="H1157" s="11">
        <v>1434544</v>
      </c>
      <c r="I1157" s="4" t="s">
        <v>98</v>
      </c>
      <c r="J1157" s="4" t="s">
        <v>99</v>
      </c>
      <c r="K1157" s="11">
        <v>0</v>
      </c>
      <c r="L1157" s="4"/>
      <c r="M1157" s="4"/>
      <c r="N1157" s="11">
        <v>0</v>
      </c>
      <c r="O1157" s="4"/>
      <c r="P1157" s="4"/>
      <c r="Q1157" s="11">
        <v>8351.7999999999993</v>
      </c>
      <c r="R1157" s="4" t="s">
        <v>98</v>
      </c>
      <c r="S1157" s="12" t="s">
        <v>99</v>
      </c>
    </row>
    <row r="1158" spans="1:19" x14ac:dyDescent="0.25">
      <c r="A1158" s="9" t="s">
        <v>916</v>
      </c>
      <c r="B1158" s="9" t="s">
        <v>291</v>
      </c>
      <c r="C1158" s="4">
        <v>201005572</v>
      </c>
      <c r="D1158" s="4"/>
      <c r="E1158" s="4" t="str">
        <f>"112462010"</f>
        <v>112462010</v>
      </c>
      <c r="F1158" s="10">
        <v>40444</v>
      </c>
      <c r="G1158" s="11">
        <v>1234350</v>
      </c>
      <c r="H1158" s="11">
        <v>1234350</v>
      </c>
      <c r="I1158" s="4" t="s">
        <v>98</v>
      </c>
      <c r="J1158" s="4" t="s">
        <v>99</v>
      </c>
      <c r="K1158" s="11">
        <v>0</v>
      </c>
      <c r="L1158" s="4"/>
      <c r="M1158" s="4"/>
      <c r="N1158" s="11">
        <v>0</v>
      </c>
      <c r="O1158" s="4"/>
      <c r="P1158" s="4"/>
      <c r="Q1158" s="11">
        <v>0</v>
      </c>
      <c r="R1158" s="4"/>
      <c r="S1158" s="12"/>
    </row>
    <row r="1159" spans="1:19" x14ac:dyDescent="0.25">
      <c r="A1159" s="9" t="s">
        <v>916</v>
      </c>
      <c r="B1159" s="9" t="s">
        <v>291</v>
      </c>
      <c r="C1159" s="4">
        <v>201005612</v>
      </c>
      <c r="D1159" s="4"/>
      <c r="E1159" s="4" t="str">
        <f>"113862010"</f>
        <v>113862010</v>
      </c>
      <c r="F1159" s="10">
        <v>40449</v>
      </c>
      <c r="G1159" s="11">
        <v>286843</v>
      </c>
      <c r="H1159" s="11">
        <v>286843</v>
      </c>
      <c r="I1159" s="4" t="s">
        <v>98</v>
      </c>
      <c r="J1159" s="4" t="s">
        <v>99</v>
      </c>
      <c r="K1159" s="11">
        <v>0</v>
      </c>
      <c r="L1159" s="4"/>
      <c r="M1159" s="4"/>
      <c r="N1159" s="11">
        <v>0</v>
      </c>
      <c r="O1159" s="4"/>
      <c r="P1159" s="4"/>
      <c r="Q1159" s="11">
        <v>0</v>
      </c>
      <c r="R1159" s="4"/>
      <c r="S1159" s="12"/>
    </row>
    <row r="1160" spans="1:19" x14ac:dyDescent="0.25">
      <c r="A1160" s="9" t="s">
        <v>916</v>
      </c>
      <c r="B1160" s="9" t="s">
        <v>291</v>
      </c>
      <c r="C1160" s="4">
        <v>201005667</v>
      </c>
      <c r="D1160" s="4"/>
      <c r="E1160" s="4" t="str">
        <f>"114172010"</f>
        <v>114172010</v>
      </c>
      <c r="F1160" s="10">
        <v>40448</v>
      </c>
      <c r="G1160" s="11">
        <v>17422.82</v>
      </c>
      <c r="H1160" s="11">
        <v>16044.71</v>
      </c>
      <c r="I1160" s="4" t="s">
        <v>142</v>
      </c>
      <c r="J1160" s="4" t="s">
        <v>143</v>
      </c>
      <c r="K1160" s="11">
        <v>0</v>
      </c>
      <c r="L1160" s="4"/>
      <c r="M1160" s="4"/>
      <c r="N1160" s="11">
        <v>0</v>
      </c>
      <c r="O1160" s="4"/>
      <c r="P1160" s="4"/>
      <c r="Q1160" s="11">
        <v>1378.11</v>
      </c>
      <c r="R1160" s="4" t="s">
        <v>142</v>
      </c>
      <c r="S1160" s="12" t="s">
        <v>143</v>
      </c>
    </row>
    <row r="1161" spans="1:19" x14ac:dyDescent="0.25">
      <c r="A1161" s="9" t="s">
        <v>916</v>
      </c>
      <c r="B1161" s="9" t="s">
        <v>291</v>
      </c>
      <c r="C1161" s="4">
        <v>201005669</v>
      </c>
      <c r="D1161" s="4"/>
      <c r="E1161" s="4" t="str">
        <f>"114372010"</f>
        <v>114372010</v>
      </c>
      <c r="F1161" s="10">
        <v>40448</v>
      </c>
      <c r="G1161" s="11">
        <v>3404.61</v>
      </c>
      <c r="H1161" s="11">
        <v>3288.18</v>
      </c>
      <c r="I1161" s="4" t="s">
        <v>142</v>
      </c>
      <c r="J1161" s="4" t="s">
        <v>143</v>
      </c>
      <c r="K1161" s="11">
        <v>0</v>
      </c>
      <c r="L1161" s="4"/>
      <c r="M1161" s="4"/>
      <c r="N1161" s="11">
        <v>0</v>
      </c>
      <c r="O1161" s="4"/>
      <c r="P1161" s="4"/>
      <c r="Q1161" s="11">
        <v>116.43</v>
      </c>
      <c r="R1161" s="4" t="s">
        <v>142</v>
      </c>
      <c r="S1161" s="12" t="s">
        <v>143</v>
      </c>
    </row>
    <row r="1162" spans="1:19" x14ac:dyDescent="0.25">
      <c r="A1162" s="9" t="s">
        <v>937</v>
      </c>
      <c r="B1162" s="9" t="s">
        <v>291</v>
      </c>
      <c r="C1162" s="4">
        <v>200905864</v>
      </c>
      <c r="D1162" s="4" t="s">
        <v>938</v>
      </c>
      <c r="E1162" s="4" t="str">
        <f>"086342009"</f>
        <v>086342009</v>
      </c>
      <c r="F1162" s="10">
        <v>40092</v>
      </c>
      <c r="G1162" s="11">
        <v>454953.04</v>
      </c>
      <c r="H1162" s="11">
        <v>454953.04</v>
      </c>
      <c r="I1162" s="4" t="s">
        <v>344</v>
      </c>
      <c r="J1162" s="4" t="s">
        <v>345</v>
      </c>
      <c r="K1162" s="11">
        <v>0</v>
      </c>
      <c r="L1162" s="4"/>
      <c r="M1162" s="4"/>
      <c r="N1162" s="11">
        <v>0</v>
      </c>
      <c r="O1162" s="4"/>
      <c r="P1162" s="4"/>
      <c r="Q1162" s="11">
        <v>0</v>
      </c>
      <c r="R1162" s="4"/>
      <c r="S1162" s="12"/>
    </row>
    <row r="1163" spans="1:19" x14ac:dyDescent="0.25">
      <c r="A1163" s="9" t="s">
        <v>937</v>
      </c>
      <c r="B1163" s="9" t="s">
        <v>291</v>
      </c>
      <c r="C1163" s="4">
        <v>201001543</v>
      </c>
      <c r="D1163" s="4" t="s">
        <v>926</v>
      </c>
      <c r="E1163" s="4" t="str">
        <f>"029652010"</f>
        <v>029652010</v>
      </c>
      <c r="F1163" s="10">
        <v>40192</v>
      </c>
      <c r="G1163" s="11">
        <v>340137.64</v>
      </c>
      <c r="H1163" s="11">
        <v>0</v>
      </c>
      <c r="I1163" s="4"/>
      <c r="J1163" s="4"/>
      <c r="K1163" s="11">
        <v>0</v>
      </c>
      <c r="L1163" s="4"/>
      <c r="M1163" s="4"/>
      <c r="N1163" s="11">
        <v>340137.64</v>
      </c>
      <c r="O1163" s="4" t="s">
        <v>344</v>
      </c>
      <c r="P1163" s="4" t="s">
        <v>345</v>
      </c>
      <c r="Q1163" s="11">
        <v>0</v>
      </c>
      <c r="R1163" s="4"/>
      <c r="S1163" s="12"/>
    </row>
    <row r="1164" spans="1:19" x14ac:dyDescent="0.25">
      <c r="A1164" s="9" t="s">
        <v>937</v>
      </c>
      <c r="B1164" s="9" t="s">
        <v>291</v>
      </c>
      <c r="C1164" s="4">
        <v>201002798</v>
      </c>
      <c r="D1164" s="4" t="s">
        <v>926</v>
      </c>
      <c r="E1164" s="4" t="str">
        <f>"054902010"</f>
        <v>054902010</v>
      </c>
      <c r="F1164" s="10">
        <v>40281</v>
      </c>
      <c r="G1164" s="11">
        <v>123618.3</v>
      </c>
      <c r="H1164" s="11">
        <v>123618.3</v>
      </c>
      <c r="I1164" s="4" t="s">
        <v>344</v>
      </c>
      <c r="J1164" s="4" t="s">
        <v>345</v>
      </c>
      <c r="K1164" s="11">
        <v>0</v>
      </c>
      <c r="L1164" s="4"/>
      <c r="M1164" s="4"/>
      <c r="N1164" s="11">
        <v>0</v>
      </c>
      <c r="O1164" s="4"/>
      <c r="P1164" s="4"/>
      <c r="Q1164" s="11">
        <v>0</v>
      </c>
      <c r="R1164" s="4"/>
      <c r="S1164" s="12"/>
    </row>
    <row r="1165" spans="1:19" x14ac:dyDescent="0.25">
      <c r="A1165" s="9" t="s">
        <v>937</v>
      </c>
      <c r="B1165" s="9" t="s">
        <v>291</v>
      </c>
      <c r="C1165" s="4">
        <v>201003511</v>
      </c>
      <c r="D1165" s="4" t="s">
        <v>939</v>
      </c>
      <c r="E1165" s="4" t="str">
        <f>"069882010"</f>
        <v>069882010</v>
      </c>
      <c r="F1165" s="10">
        <v>40317</v>
      </c>
      <c r="G1165" s="11">
        <v>140086.85</v>
      </c>
      <c r="H1165" s="11">
        <v>140086.85</v>
      </c>
      <c r="I1165" s="4" t="s">
        <v>344</v>
      </c>
      <c r="J1165" s="4" t="s">
        <v>345</v>
      </c>
      <c r="K1165" s="11">
        <v>0</v>
      </c>
      <c r="L1165" s="4"/>
      <c r="M1165" s="4"/>
      <c r="N1165" s="11">
        <v>0</v>
      </c>
      <c r="O1165" s="4"/>
      <c r="P1165" s="4"/>
      <c r="Q1165" s="11">
        <v>0</v>
      </c>
      <c r="R1165" s="4"/>
      <c r="S1165" s="12"/>
    </row>
    <row r="1166" spans="1:19" x14ac:dyDescent="0.25">
      <c r="A1166" s="9" t="s">
        <v>937</v>
      </c>
      <c r="B1166" s="9" t="s">
        <v>291</v>
      </c>
      <c r="C1166" s="4">
        <v>201003948</v>
      </c>
      <c r="D1166" s="4"/>
      <c r="E1166" s="4" t="str">
        <f>"079662010"</f>
        <v>079662010</v>
      </c>
      <c r="F1166" s="10">
        <v>40346</v>
      </c>
      <c r="G1166" s="11">
        <v>202226.37</v>
      </c>
      <c r="H1166" s="11">
        <v>202226.37</v>
      </c>
      <c r="I1166" s="4" t="s">
        <v>344</v>
      </c>
      <c r="J1166" s="4" t="s">
        <v>345</v>
      </c>
      <c r="K1166" s="11">
        <v>0</v>
      </c>
      <c r="L1166" s="4"/>
      <c r="M1166" s="4"/>
      <c r="N1166" s="11">
        <v>0</v>
      </c>
      <c r="O1166" s="4"/>
      <c r="P1166" s="4"/>
      <c r="Q1166" s="11">
        <v>0</v>
      </c>
      <c r="R1166" s="4"/>
      <c r="S1166" s="12"/>
    </row>
    <row r="1167" spans="1:19" x14ac:dyDescent="0.25">
      <c r="A1167" s="9" t="s">
        <v>937</v>
      </c>
      <c r="B1167" s="9" t="s">
        <v>291</v>
      </c>
      <c r="C1167" s="4">
        <v>201004999</v>
      </c>
      <c r="D1167" s="4"/>
      <c r="E1167" s="4" t="str">
        <f>"099792010"</f>
        <v>099792010</v>
      </c>
      <c r="F1167" s="10">
        <v>40406</v>
      </c>
      <c r="G1167" s="11">
        <v>82634.34</v>
      </c>
      <c r="H1167" s="11">
        <v>82634.34</v>
      </c>
      <c r="I1167" s="4" t="s">
        <v>344</v>
      </c>
      <c r="J1167" s="4" t="s">
        <v>345</v>
      </c>
      <c r="K1167" s="11">
        <v>0</v>
      </c>
      <c r="L1167" s="4"/>
      <c r="M1167" s="4"/>
      <c r="N1167" s="11">
        <v>0</v>
      </c>
      <c r="O1167" s="4"/>
      <c r="P1167" s="4"/>
      <c r="Q1167" s="11">
        <v>0</v>
      </c>
      <c r="R1167" s="4"/>
      <c r="S1167" s="12"/>
    </row>
    <row r="1168" spans="1:19" x14ac:dyDescent="0.25">
      <c r="A1168" s="9" t="s">
        <v>937</v>
      </c>
      <c r="B1168" s="9" t="s">
        <v>291</v>
      </c>
      <c r="C1168" s="4">
        <v>201005647</v>
      </c>
      <c r="D1168" s="4"/>
      <c r="E1168" s="4" t="str">
        <f>"113542010"</f>
        <v>113542010</v>
      </c>
      <c r="F1168" s="10">
        <v>40450</v>
      </c>
      <c r="G1168" s="11">
        <v>166565.51</v>
      </c>
      <c r="H1168" s="11">
        <v>166565.51</v>
      </c>
      <c r="I1168" s="4" t="s">
        <v>344</v>
      </c>
      <c r="J1168" s="4" t="s">
        <v>345</v>
      </c>
      <c r="K1168" s="11">
        <v>0</v>
      </c>
      <c r="L1168" s="4"/>
      <c r="M1168" s="4"/>
      <c r="N1168" s="11">
        <v>0</v>
      </c>
      <c r="O1168" s="4"/>
      <c r="P1168" s="4"/>
      <c r="Q1168" s="11">
        <v>0</v>
      </c>
      <c r="R1168" s="4"/>
      <c r="S1168" s="12"/>
    </row>
    <row r="1169" spans="1:19" x14ac:dyDescent="0.25">
      <c r="A1169" s="9" t="s">
        <v>940</v>
      </c>
      <c r="B1169" s="9" t="s">
        <v>291</v>
      </c>
      <c r="C1169" s="4">
        <v>201001066</v>
      </c>
      <c r="D1169" s="4" t="s">
        <v>941</v>
      </c>
      <c r="E1169" s="4" t="str">
        <f>"022792010"</f>
        <v>022792010</v>
      </c>
      <c r="F1169" s="10">
        <v>40165</v>
      </c>
      <c r="G1169" s="11">
        <v>65000</v>
      </c>
      <c r="H1169" s="11">
        <v>65000</v>
      </c>
      <c r="I1169" s="4" t="s">
        <v>30</v>
      </c>
      <c r="J1169" s="4" t="s">
        <v>31</v>
      </c>
      <c r="K1169" s="11">
        <v>0</v>
      </c>
      <c r="L1169" s="4"/>
      <c r="M1169" s="4"/>
      <c r="N1169" s="11">
        <v>0</v>
      </c>
      <c r="O1169" s="4"/>
      <c r="P1169" s="4"/>
      <c r="Q1169" s="11">
        <v>0</v>
      </c>
      <c r="R1169" s="4"/>
      <c r="S1169" s="12"/>
    </row>
    <row r="1170" spans="1:19" x14ac:dyDescent="0.25">
      <c r="A1170" s="9" t="s">
        <v>940</v>
      </c>
      <c r="B1170" s="9" t="s">
        <v>940</v>
      </c>
      <c r="C1170" s="4">
        <v>201002772</v>
      </c>
      <c r="D1170" s="4" t="s">
        <v>942</v>
      </c>
      <c r="E1170" s="4" t="str">
        <f>"055272010"</f>
        <v>055272010</v>
      </c>
      <c r="F1170" s="10">
        <v>40270</v>
      </c>
      <c r="G1170" s="11">
        <v>3417.6</v>
      </c>
      <c r="H1170" s="11">
        <v>3417.6</v>
      </c>
      <c r="I1170" s="4" t="s">
        <v>30</v>
      </c>
      <c r="J1170" s="4" t="s">
        <v>31</v>
      </c>
      <c r="K1170" s="11">
        <v>0</v>
      </c>
      <c r="L1170" s="4"/>
      <c r="M1170" s="4"/>
      <c r="N1170" s="11">
        <v>0</v>
      </c>
      <c r="O1170" s="4"/>
      <c r="P1170" s="4"/>
      <c r="Q1170" s="11">
        <v>0</v>
      </c>
      <c r="R1170" s="4"/>
      <c r="S1170" s="12"/>
    </row>
    <row r="1171" spans="1:19" x14ac:dyDescent="0.25">
      <c r="A1171" s="9" t="s">
        <v>940</v>
      </c>
      <c r="B1171" s="9" t="s">
        <v>940</v>
      </c>
      <c r="C1171" s="4">
        <v>201002791</v>
      </c>
      <c r="D1171" s="4" t="s">
        <v>942</v>
      </c>
      <c r="E1171" s="4" t="str">
        <f>"054622010"</f>
        <v>054622010</v>
      </c>
      <c r="F1171" s="10">
        <v>40270</v>
      </c>
      <c r="G1171" s="11">
        <v>3417.6</v>
      </c>
      <c r="H1171" s="11">
        <v>3417.6</v>
      </c>
      <c r="I1171" s="4" t="s">
        <v>30</v>
      </c>
      <c r="J1171" s="4" t="s">
        <v>31</v>
      </c>
      <c r="K1171" s="11">
        <v>0</v>
      </c>
      <c r="L1171" s="4"/>
      <c r="M1171" s="4"/>
      <c r="N1171" s="11">
        <v>0</v>
      </c>
      <c r="O1171" s="4"/>
      <c r="P1171" s="4"/>
      <c r="Q1171" s="11">
        <v>0</v>
      </c>
      <c r="R1171" s="4"/>
      <c r="S1171" s="12"/>
    </row>
    <row r="1172" spans="1:19" x14ac:dyDescent="0.25">
      <c r="A1172" s="9" t="s">
        <v>940</v>
      </c>
      <c r="B1172" s="9" t="s">
        <v>940</v>
      </c>
      <c r="C1172" s="4">
        <v>201003585</v>
      </c>
      <c r="D1172" s="4" t="s">
        <v>942</v>
      </c>
      <c r="E1172" s="4" t="str">
        <f>"075942010"</f>
        <v>075942010</v>
      </c>
      <c r="F1172" s="10">
        <v>40331</v>
      </c>
      <c r="G1172" s="11">
        <v>3987.2</v>
      </c>
      <c r="H1172" s="11">
        <v>3987.2</v>
      </c>
      <c r="I1172" s="4" t="s">
        <v>30</v>
      </c>
      <c r="J1172" s="4" t="s">
        <v>31</v>
      </c>
      <c r="K1172" s="11">
        <v>0</v>
      </c>
      <c r="L1172" s="4"/>
      <c r="M1172" s="4"/>
      <c r="N1172" s="11">
        <v>0</v>
      </c>
      <c r="O1172" s="4"/>
      <c r="P1172" s="4"/>
      <c r="Q1172" s="11">
        <v>0</v>
      </c>
      <c r="R1172" s="4"/>
      <c r="S1172" s="12"/>
    </row>
    <row r="1173" spans="1:19" x14ac:dyDescent="0.25">
      <c r="A1173" s="9" t="s">
        <v>940</v>
      </c>
      <c r="B1173" s="9" t="s">
        <v>940</v>
      </c>
      <c r="C1173" s="4">
        <v>201004995</v>
      </c>
      <c r="D1173" s="4" t="s">
        <v>942</v>
      </c>
      <c r="E1173" s="4" t="str">
        <f>"101072010"</f>
        <v>101072010</v>
      </c>
      <c r="F1173" s="10">
        <v>40407</v>
      </c>
      <c r="G1173" s="11">
        <v>3987.2</v>
      </c>
      <c r="H1173" s="11">
        <v>3987.2</v>
      </c>
      <c r="I1173" s="4" t="s">
        <v>30</v>
      </c>
      <c r="J1173" s="4" t="s">
        <v>31</v>
      </c>
      <c r="K1173" s="11">
        <v>0</v>
      </c>
      <c r="L1173" s="4"/>
      <c r="M1173" s="4"/>
      <c r="N1173" s="11">
        <v>0</v>
      </c>
      <c r="O1173" s="4"/>
      <c r="P1173" s="4"/>
      <c r="Q1173" s="11">
        <v>0</v>
      </c>
      <c r="R1173" s="4"/>
      <c r="S1173" s="12"/>
    </row>
    <row r="1174" spans="1:19" x14ac:dyDescent="0.25">
      <c r="A1174" s="9" t="s">
        <v>940</v>
      </c>
      <c r="B1174" s="9" t="s">
        <v>291</v>
      </c>
      <c r="C1174" s="4">
        <v>201005372</v>
      </c>
      <c r="D1174" s="4" t="s">
        <v>2534</v>
      </c>
      <c r="E1174" s="4" t="str">
        <f>"106662010"</f>
        <v>106662010</v>
      </c>
      <c r="F1174" s="10">
        <v>40417</v>
      </c>
      <c r="G1174" s="11">
        <v>446.25</v>
      </c>
      <c r="H1174" s="11">
        <v>0</v>
      </c>
      <c r="I1174" s="4"/>
      <c r="J1174" s="4"/>
      <c r="K1174" s="11">
        <v>446.25</v>
      </c>
      <c r="L1174" s="4" t="s">
        <v>30</v>
      </c>
      <c r="M1174" s="4" t="s">
        <v>31</v>
      </c>
      <c r="N1174" s="11">
        <v>0</v>
      </c>
      <c r="O1174" s="4"/>
      <c r="P1174" s="4"/>
      <c r="Q1174" s="11">
        <v>0</v>
      </c>
      <c r="R1174" s="4"/>
      <c r="S1174" s="12"/>
    </row>
    <row r="1175" spans="1:19" x14ac:dyDescent="0.25">
      <c r="A1175" s="9" t="s">
        <v>943</v>
      </c>
      <c r="B1175" s="9" t="s">
        <v>291</v>
      </c>
      <c r="C1175" s="4">
        <v>201004773</v>
      </c>
      <c r="D1175" s="4" t="s">
        <v>944</v>
      </c>
      <c r="E1175" s="4" t="str">
        <f>"096812010"</f>
        <v>096812010</v>
      </c>
      <c r="F1175" s="10">
        <v>40394</v>
      </c>
      <c r="G1175" s="11">
        <v>150000</v>
      </c>
      <c r="H1175" s="11">
        <v>150000</v>
      </c>
      <c r="I1175" s="4" t="s">
        <v>30</v>
      </c>
      <c r="J1175" s="4" t="s">
        <v>31</v>
      </c>
      <c r="K1175" s="11">
        <v>0</v>
      </c>
      <c r="L1175" s="4"/>
      <c r="M1175" s="4"/>
      <c r="N1175" s="11">
        <v>0</v>
      </c>
      <c r="O1175" s="4"/>
      <c r="P1175" s="4"/>
      <c r="Q1175" s="11">
        <v>0</v>
      </c>
      <c r="R1175" s="4"/>
      <c r="S1175" s="12"/>
    </row>
    <row r="1176" spans="1:19" x14ac:dyDescent="0.25">
      <c r="A1176" s="9" t="s">
        <v>945</v>
      </c>
      <c r="B1176" s="9" t="s">
        <v>291</v>
      </c>
      <c r="C1176" s="4">
        <v>201000572</v>
      </c>
      <c r="D1176" s="4" t="s">
        <v>946</v>
      </c>
      <c r="E1176" s="4" t="str">
        <f>"016072010"</f>
        <v>016072010</v>
      </c>
      <c r="F1176" s="10">
        <v>40148</v>
      </c>
      <c r="G1176" s="11">
        <v>87500</v>
      </c>
      <c r="H1176" s="11">
        <v>87500</v>
      </c>
      <c r="I1176" s="4" t="s">
        <v>30</v>
      </c>
      <c r="J1176" s="4" t="s">
        <v>31</v>
      </c>
      <c r="K1176" s="11">
        <v>0</v>
      </c>
      <c r="L1176" s="4"/>
      <c r="M1176" s="4"/>
      <c r="N1176" s="11">
        <v>0</v>
      </c>
      <c r="O1176" s="4"/>
      <c r="P1176" s="4"/>
      <c r="Q1176" s="11">
        <v>0</v>
      </c>
      <c r="R1176" s="4"/>
      <c r="S1176" s="12"/>
    </row>
    <row r="1177" spans="1:19" x14ac:dyDescent="0.25">
      <c r="A1177" s="9" t="s">
        <v>945</v>
      </c>
      <c r="B1177" s="9" t="s">
        <v>291</v>
      </c>
      <c r="C1177" s="4">
        <v>201001208</v>
      </c>
      <c r="D1177" s="4" t="s">
        <v>2534</v>
      </c>
      <c r="E1177" s="4" t="str">
        <f>"023812010"</f>
        <v>023812010</v>
      </c>
      <c r="F1177" s="10">
        <v>40165</v>
      </c>
      <c r="G1177" s="11">
        <v>30000</v>
      </c>
      <c r="H1177" s="11">
        <v>0</v>
      </c>
      <c r="I1177" s="4"/>
      <c r="J1177" s="4"/>
      <c r="K1177" s="11">
        <v>30000</v>
      </c>
      <c r="L1177" s="4" t="s">
        <v>30</v>
      </c>
      <c r="M1177" s="4" t="s">
        <v>31</v>
      </c>
      <c r="N1177" s="11">
        <v>0</v>
      </c>
      <c r="O1177" s="4"/>
      <c r="P1177" s="4"/>
      <c r="Q1177" s="11">
        <v>0</v>
      </c>
      <c r="R1177" s="4"/>
      <c r="S1177" s="12"/>
    </row>
    <row r="1178" spans="1:19" x14ac:dyDescent="0.25">
      <c r="A1178" s="9" t="s">
        <v>945</v>
      </c>
      <c r="B1178" s="9" t="s">
        <v>291</v>
      </c>
      <c r="C1178" s="4">
        <v>201001282</v>
      </c>
      <c r="D1178" s="4"/>
      <c r="E1178" s="4" t="str">
        <f>"025252010"</f>
        <v>025252010</v>
      </c>
      <c r="F1178" s="10">
        <v>40177</v>
      </c>
      <c r="G1178" s="11">
        <v>30000</v>
      </c>
      <c r="H1178" s="11">
        <v>30000</v>
      </c>
      <c r="I1178" s="4" t="s">
        <v>366</v>
      </c>
      <c r="J1178" s="4" t="s">
        <v>367</v>
      </c>
      <c r="K1178" s="11">
        <v>0</v>
      </c>
      <c r="L1178" s="4"/>
      <c r="M1178" s="4"/>
      <c r="N1178" s="11">
        <v>0</v>
      </c>
      <c r="O1178" s="4"/>
      <c r="P1178" s="4"/>
      <c r="Q1178" s="11">
        <v>0</v>
      </c>
      <c r="R1178" s="4"/>
      <c r="S1178" s="12"/>
    </row>
    <row r="1179" spans="1:19" x14ac:dyDescent="0.25">
      <c r="A1179" s="9" t="s">
        <v>945</v>
      </c>
      <c r="B1179" s="9" t="s">
        <v>291</v>
      </c>
      <c r="C1179" s="4">
        <v>201001962</v>
      </c>
      <c r="D1179" s="4" t="s">
        <v>947</v>
      </c>
      <c r="E1179" s="4" t="str">
        <f>"041702010"</f>
        <v>041702010</v>
      </c>
      <c r="F1179" s="10">
        <v>40240</v>
      </c>
      <c r="G1179" s="11">
        <v>350000</v>
      </c>
      <c r="H1179" s="11">
        <v>350000</v>
      </c>
      <c r="I1179" s="4" t="s">
        <v>72</v>
      </c>
      <c r="J1179" s="4" t="s">
        <v>73</v>
      </c>
      <c r="K1179" s="11">
        <v>0</v>
      </c>
      <c r="L1179" s="4"/>
      <c r="M1179" s="4"/>
      <c r="N1179" s="11">
        <v>0</v>
      </c>
      <c r="O1179" s="4"/>
      <c r="P1179" s="4"/>
      <c r="Q1179" s="11">
        <v>0</v>
      </c>
      <c r="R1179" s="4"/>
      <c r="S1179" s="12"/>
    </row>
    <row r="1180" spans="1:19" x14ac:dyDescent="0.25">
      <c r="A1180" s="9" t="s">
        <v>945</v>
      </c>
      <c r="B1180" s="9" t="s">
        <v>291</v>
      </c>
      <c r="C1180" s="4">
        <v>201002494</v>
      </c>
      <c r="D1180" s="4" t="s">
        <v>948</v>
      </c>
      <c r="E1180" s="4" t="str">
        <f>"050942010"</f>
        <v>050942010</v>
      </c>
      <c r="F1180" s="10">
        <v>40262</v>
      </c>
      <c r="G1180" s="11">
        <v>120000</v>
      </c>
      <c r="H1180" s="11">
        <v>120000</v>
      </c>
      <c r="I1180" s="4" t="s">
        <v>38</v>
      </c>
      <c r="J1180" s="4" t="s">
        <v>39</v>
      </c>
      <c r="K1180" s="11">
        <v>0</v>
      </c>
      <c r="L1180" s="4"/>
      <c r="M1180" s="4"/>
      <c r="N1180" s="11">
        <v>0</v>
      </c>
      <c r="O1180" s="4"/>
      <c r="P1180" s="4"/>
      <c r="Q1180" s="11">
        <v>0</v>
      </c>
      <c r="R1180" s="4"/>
      <c r="S1180" s="12"/>
    </row>
    <row r="1181" spans="1:19" x14ac:dyDescent="0.25">
      <c r="A1181" s="9" t="s">
        <v>945</v>
      </c>
      <c r="B1181" s="9" t="s">
        <v>291</v>
      </c>
      <c r="C1181" s="4">
        <v>201002704</v>
      </c>
      <c r="D1181" s="4" t="s">
        <v>949</v>
      </c>
      <c r="E1181" s="4" t="str">
        <f>"055512010"</f>
        <v>055512010</v>
      </c>
      <c r="F1181" s="10">
        <v>40275</v>
      </c>
      <c r="G1181" s="11">
        <v>1839.26</v>
      </c>
      <c r="H1181" s="11">
        <v>1839.26</v>
      </c>
      <c r="I1181" s="4" t="s">
        <v>56</v>
      </c>
      <c r="J1181" s="4" t="s">
        <v>57</v>
      </c>
      <c r="K1181" s="11">
        <v>0</v>
      </c>
      <c r="L1181" s="4"/>
      <c r="M1181" s="4"/>
      <c r="N1181" s="11">
        <v>0</v>
      </c>
      <c r="O1181" s="4"/>
      <c r="P1181" s="4"/>
      <c r="Q1181" s="11">
        <v>0</v>
      </c>
      <c r="R1181" s="4"/>
      <c r="S1181" s="12"/>
    </row>
    <row r="1182" spans="1:19" x14ac:dyDescent="0.25">
      <c r="A1182" s="9" t="s">
        <v>945</v>
      </c>
      <c r="B1182" s="9" t="s">
        <v>291</v>
      </c>
      <c r="C1182" s="4">
        <v>201003359</v>
      </c>
      <c r="D1182" s="4" t="s">
        <v>950</v>
      </c>
      <c r="E1182" s="4" t="str">
        <f>"069542010"</f>
        <v>069542010</v>
      </c>
      <c r="F1182" s="10">
        <v>40317</v>
      </c>
      <c r="G1182" s="11">
        <v>49000</v>
      </c>
      <c r="H1182" s="11">
        <v>49000</v>
      </c>
      <c r="I1182" s="4" t="s">
        <v>38</v>
      </c>
      <c r="J1182" s="4" t="s">
        <v>39</v>
      </c>
      <c r="K1182" s="11">
        <v>0</v>
      </c>
      <c r="L1182" s="4"/>
      <c r="M1182" s="4"/>
      <c r="N1182" s="11">
        <v>0</v>
      </c>
      <c r="O1182" s="4"/>
      <c r="P1182" s="4"/>
      <c r="Q1182" s="11">
        <v>0</v>
      </c>
      <c r="R1182" s="4"/>
      <c r="S1182" s="12"/>
    </row>
    <row r="1183" spans="1:19" x14ac:dyDescent="0.25">
      <c r="A1183" s="9" t="s">
        <v>945</v>
      </c>
      <c r="B1183" s="9" t="s">
        <v>291</v>
      </c>
      <c r="C1183" s="4">
        <v>201005174</v>
      </c>
      <c r="D1183" s="4" t="s">
        <v>951</v>
      </c>
      <c r="E1183" s="4" t="str">
        <f>"104152010"</f>
        <v>104152010</v>
      </c>
      <c r="F1183" s="10">
        <v>40413</v>
      </c>
      <c r="G1183" s="11">
        <v>76000</v>
      </c>
      <c r="H1183" s="11">
        <v>76000</v>
      </c>
      <c r="I1183" s="4" t="s">
        <v>23</v>
      </c>
      <c r="J1183" s="4" t="s">
        <v>24</v>
      </c>
      <c r="K1183" s="11">
        <v>0</v>
      </c>
      <c r="L1183" s="4"/>
      <c r="M1183" s="4"/>
      <c r="N1183" s="11">
        <v>0</v>
      </c>
      <c r="O1183" s="4"/>
      <c r="P1183" s="4"/>
      <c r="Q1183" s="11">
        <v>0</v>
      </c>
      <c r="R1183" s="4"/>
      <c r="S1183" s="12"/>
    </row>
    <row r="1184" spans="1:19" x14ac:dyDescent="0.25">
      <c r="A1184" s="9" t="s">
        <v>952</v>
      </c>
      <c r="B1184" s="9" t="s">
        <v>291</v>
      </c>
      <c r="C1184" s="4">
        <v>200905467</v>
      </c>
      <c r="D1184" s="4" t="s">
        <v>2534</v>
      </c>
      <c r="E1184" s="4" t="str">
        <f>"086922009"</f>
        <v>086922009</v>
      </c>
      <c r="F1184" s="10">
        <v>40091</v>
      </c>
      <c r="G1184" s="11">
        <v>35000</v>
      </c>
      <c r="H1184" s="11">
        <v>30000</v>
      </c>
      <c r="I1184" s="4" t="s">
        <v>179</v>
      </c>
      <c r="J1184" s="4" t="s">
        <v>180</v>
      </c>
      <c r="K1184" s="11">
        <v>5000</v>
      </c>
      <c r="L1184" s="4" t="s">
        <v>179</v>
      </c>
      <c r="M1184" s="4" t="s">
        <v>180</v>
      </c>
      <c r="N1184" s="11">
        <v>0</v>
      </c>
      <c r="O1184" s="4"/>
      <c r="P1184" s="4"/>
      <c r="Q1184" s="11">
        <v>0</v>
      </c>
      <c r="R1184" s="4"/>
      <c r="S1184" s="12"/>
    </row>
    <row r="1185" spans="1:19" x14ac:dyDescent="0.25">
      <c r="A1185" s="9" t="s">
        <v>952</v>
      </c>
      <c r="B1185" s="9" t="s">
        <v>291</v>
      </c>
      <c r="C1185" s="4">
        <v>201000847</v>
      </c>
      <c r="D1185" s="4" t="s">
        <v>953</v>
      </c>
      <c r="E1185" s="4" t="str">
        <f>"018592010"</f>
        <v>018592010</v>
      </c>
      <c r="F1185" s="10">
        <v>40154</v>
      </c>
      <c r="G1185" s="11">
        <v>310.55</v>
      </c>
      <c r="H1185" s="11">
        <v>0</v>
      </c>
      <c r="I1185" s="4"/>
      <c r="J1185" s="4"/>
      <c r="K1185" s="11">
        <v>0</v>
      </c>
      <c r="L1185" s="4"/>
      <c r="M1185" s="4"/>
      <c r="N1185" s="11">
        <v>310.55</v>
      </c>
      <c r="O1185" s="4" t="s">
        <v>56</v>
      </c>
      <c r="P1185" s="4" t="s">
        <v>57</v>
      </c>
      <c r="Q1185" s="11">
        <v>0</v>
      </c>
      <c r="R1185" s="4"/>
      <c r="S1185" s="12"/>
    </row>
    <row r="1186" spans="1:19" x14ac:dyDescent="0.25">
      <c r="A1186" s="9" t="s">
        <v>952</v>
      </c>
      <c r="B1186" s="9" t="s">
        <v>291</v>
      </c>
      <c r="C1186" s="4">
        <v>201002582</v>
      </c>
      <c r="D1186" s="4" t="s">
        <v>954</v>
      </c>
      <c r="E1186" s="4" t="str">
        <f>"051182010"</f>
        <v>051182010</v>
      </c>
      <c r="F1186" s="10">
        <v>40262</v>
      </c>
      <c r="G1186" s="11">
        <v>2447.4499999999998</v>
      </c>
      <c r="H1186" s="11">
        <v>0</v>
      </c>
      <c r="I1186" s="4"/>
      <c r="J1186" s="4"/>
      <c r="K1186" s="11">
        <v>0</v>
      </c>
      <c r="L1186" s="4"/>
      <c r="M1186" s="4"/>
      <c r="N1186" s="11">
        <v>2447.4499999999998</v>
      </c>
      <c r="O1186" s="4" t="s">
        <v>56</v>
      </c>
      <c r="P1186" s="4" t="s">
        <v>57</v>
      </c>
      <c r="Q1186" s="11">
        <v>0</v>
      </c>
      <c r="R1186" s="4"/>
      <c r="S1186" s="12"/>
    </row>
    <row r="1187" spans="1:19" x14ac:dyDescent="0.25">
      <c r="A1187" s="9" t="s">
        <v>952</v>
      </c>
      <c r="B1187" s="9" t="s">
        <v>291</v>
      </c>
      <c r="C1187" s="4">
        <v>201003062</v>
      </c>
      <c r="D1187" s="4" t="s">
        <v>955</v>
      </c>
      <c r="E1187" s="4" t="str">
        <f>"061262010"</f>
        <v>061262010</v>
      </c>
      <c r="F1187" s="10">
        <v>40291</v>
      </c>
      <c r="G1187" s="11">
        <v>2166.62</v>
      </c>
      <c r="H1187" s="11">
        <v>0</v>
      </c>
      <c r="I1187" s="4"/>
      <c r="J1187" s="4"/>
      <c r="K1187" s="11">
        <v>0</v>
      </c>
      <c r="L1187" s="4"/>
      <c r="M1187" s="4"/>
      <c r="N1187" s="11">
        <v>2166.62</v>
      </c>
      <c r="O1187" s="4" t="s">
        <v>56</v>
      </c>
      <c r="P1187" s="4" t="s">
        <v>57</v>
      </c>
      <c r="Q1187" s="11">
        <v>0</v>
      </c>
      <c r="R1187" s="4"/>
      <c r="S1187" s="12"/>
    </row>
    <row r="1188" spans="1:19" x14ac:dyDescent="0.25">
      <c r="A1188" s="9" t="s">
        <v>952</v>
      </c>
      <c r="B1188" s="9" t="s">
        <v>291</v>
      </c>
      <c r="C1188" s="4">
        <v>201003624</v>
      </c>
      <c r="D1188" s="4" t="s">
        <v>956</v>
      </c>
      <c r="E1188" s="4" t="str">
        <f>"085282010"</f>
        <v>085282010</v>
      </c>
      <c r="F1188" s="10">
        <v>40357</v>
      </c>
      <c r="G1188" s="11">
        <v>350000</v>
      </c>
      <c r="H1188" s="11">
        <v>350000</v>
      </c>
      <c r="I1188" s="4" t="s">
        <v>179</v>
      </c>
      <c r="J1188" s="4" t="s">
        <v>180</v>
      </c>
      <c r="K1188" s="11">
        <v>0</v>
      </c>
      <c r="L1188" s="4"/>
      <c r="M1188" s="4"/>
      <c r="N1188" s="11">
        <v>0</v>
      </c>
      <c r="O1188" s="4"/>
      <c r="P1188" s="4"/>
      <c r="Q1188" s="11">
        <v>0</v>
      </c>
      <c r="R1188" s="4"/>
      <c r="S1188" s="12"/>
    </row>
    <row r="1189" spans="1:19" x14ac:dyDescent="0.25">
      <c r="A1189" s="9" t="s">
        <v>952</v>
      </c>
      <c r="B1189" s="9" t="s">
        <v>291</v>
      </c>
      <c r="C1189" s="4">
        <v>201004238</v>
      </c>
      <c r="D1189" s="4" t="s">
        <v>957</v>
      </c>
      <c r="E1189" s="4" t="str">
        <f>"086742010"</f>
        <v>086742010</v>
      </c>
      <c r="F1189" s="10">
        <v>40358</v>
      </c>
      <c r="G1189" s="11">
        <v>5000</v>
      </c>
      <c r="H1189" s="11">
        <v>5000</v>
      </c>
      <c r="I1189" s="4" t="s">
        <v>23</v>
      </c>
      <c r="J1189" s="4" t="s">
        <v>24</v>
      </c>
      <c r="K1189" s="11">
        <v>0</v>
      </c>
      <c r="L1189" s="4"/>
      <c r="M1189" s="4"/>
      <c r="N1189" s="11">
        <v>0</v>
      </c>
      <c r="O1189" s="4"/>
      <c r="P1189" s="4"/>
      <c r="Q1189" s="11">
        <v>0</v>
      </c>
      <c r="R1189" s="4"/>
      <c r="S1189" s="12"/>
    </row>
    <row r="1190" spans="1:19" x14ac:dyDescent="0.25">
      <c r="A1190" s="9" t="s">
        <v>952</v>
      </c>
      <c r="B1190" s="9" t="s">
        <v>291</v>
      </c>
      <c r="C1190" s="4">
        <v>201005534</v>
      </c>
      <c r="D1190" s="4" t="s">
        <v>958</v>
      </c>
      <c r="E1190" s="4" t="str">
        <f>"115132010"</f>
        <v>115132010</v>
      </c>
      <c r="F1190" s="10">
        <v>40450</v>
      </c>
      <c r="G1190" s="11">
        <v>5260905.9800000004</v>
      </c>
      <c r="H1190" s="11">
        <v>5260905.9800000004</v>
      </c>
      <c r="I1190" s="4" t="s">
        <v>251</v>
      </c>
      <c r="J1190" s="4" t="s">
        <v>252</v>
      </c>
      <c r="K1190" s="11">
        <v>0</v>
      </c>
      <c r="L1190" s="4"/>
      <c r="M1190" s="4"/>
      <c r="N1190" s="11">
        <v>0</v>
      </c>
      <c r="O1190" s="4"/>
      <c r="P1190" s="4"/>
      <c r="Q1190" s="11">
        <v>0</v>
      </c>
      <c r="R1190" s="4"/>
      <c r="S1190" s="12"/>
    </row>
    <row r="1191" spans="1:19" x14ac:dyDescent="0.25">
      <c r="A1191" s="9" t="s">
        <v>952</v>
      </c>
      <c r="B1191" s="9" t="s">
        <v>291</v>
      </c>
      <c r="C1191" s="4">
        <v>201005534</v>
      </c>
      <c r="D1191" s="4" t="s">
        <v>958</v>
      </c>
      <c r="E1191" s="4" t="str">
        <f>"115152010"</f>
        <v>115152010</v>
      </c>
      <c r="F1191" s="10">
        <v>40449</v>
      </c>
      <c r="G1191" s="11">
        <v>1407368.73</v>
      </c>
      <c r="H1191" s="11">
        <v>1407368.73</v>
      </c>
      <c r="I1191" s="4" t="s">
        <v>251</v>
      </c>
      <c r="J1191" s="4" t="s">
        <v>252</v>
      </c>
      <c r="K1191" s="11">
        <v>0</v>
      </c>
      <c r="L1191" s="4"/>
      <c r="M1191" s="4"/>
      <c r="N1191" s="11">
        <v>0</v>
      </c>
      <c r="O1191" s="4"/>
      <c r="P1191" s="4"/>
      <c r="Q1191" s="11">
        <v>0</v>
      </c>
      <c r="R1191" s="4"/>
      <c r="S1191" s="12"/>
    </row>
    <row r="1192" spans="1:19" x14ac:dyDescent="0.25">
      <c r="A1192" s="9" t="s">
        <v>952</v>
      </c>
      <c r="B1192" s="9" t="s">
        <v>291</v>
      </c>
      <c r="C1192" s="4">
        <v>201005534</v>
      </c>
      <c r="D1192" s="4" t="s">
        <v>958</v>
      </c>
      <c r="E1192" s="4" t="str">
        <f>"115172010"</f>
        <v>115172010</v>
      </c>
      <c r="F1192" s="10">
        <v>40449</v>
      </c>
      <c r="G1192" s="11">
        <v>329751.02</v>
      </c>
      <c r="H1192" s="11">
        <v>329751.02</v>
      </c>
      <c r="I1192" s="4" t="s">
        <v>251</v>
      </c>
      <c r="J1192" s="4" t="s">
        <v>252</v>
      </c>
      <c r="K1192" s="11">
        <v>0</v>
      </c>
      <c r="L1192" s="4"/>
      <c r="M1192" s="4"/>
      <c r="N1192" s="11">
        <v>0</v>
      </c>
      <c r="O1192" s="4"/>
      <c r="P1192" s="4"/>
      <c r="Q1192" s="11">
        <v>0</v>
      </c>
      <c r="R1192" s="4"/>
      <c r="S1192" s="12"/>
    </row>
    <row r="1193" spans="1:19" x14ac:dyDescent="0.25">
      <c r="A1193" s="9" t="s">
        <v>959</v>
      </c>
      <c r="B1193" s="9" t="s">
        <v>291</v>
      </c>
      <c r="C1193" s="4">
        <v>201000986</v>
      </c>
      <c r="D1193" s="4" t="s">
        <v>960</v>
      </c>
      <c r="E1193" s="4" t="str">
        <f>"019882010"</f>
        <v>019882010</v>
      </c>
      <c r="F1193" s="10">
        <v>40157</v>
      </c>
      <c r="G1193" s="11">
        <v>466.39</v>
      </c>
      <c r="H1193" s="11">
        <v>0</v>
      </c>
      <c r="I1193" s="4"/>
      <c r="J1193" s="4"/>
      <c r="K1193" s="11">
        <v>0</v>
      </c>
      <c r="L1193" s="4"/>
      <c r="M1193" s="4"/>
      <c r="N1193" s="11">
        <v>466.39</v>
      </c>
      <c r="O1193" s="4" t="s">
        <v>56</v>
      </c>
      <c r="P1193" s="4" t="s">
        <v>57</v>
      </c>
      <c r="Q1193" s="11">
        <v>0</v>
      </c>
      <c r="R1193" s="4"/>
      <c r="S1193" s="12"/>
    </row>
    <row r="1194" spans="1:19" x14ac:dyDescent="0.25">
      <c r="A1194" s="9" t="s">
        <v>959</v>
      </c>
      <c r="B1194" s="9" t="s">
        <v>959</v>
      </c>
      <c r="C1194" s="4">
        <v>201002609</v>
      </c>
      <c r="D1194" s="4"/>
      <c r="E1194" s="4" t="str">
        <f>"052402010"</f>
        <v>052402010</v>
      </c>
      <c r="F1194" s="10">
        <v>40266</v>
      </c>
      <c r="G1194" s="11">
        <v>500</v>
      </c>
      <c r="H1194" s="11">
        <v>0</v>
      </c>
      <c r="I1194" s="4"/>
      <c r="J1194" s="4"/>
      <c r="K1194" s="11">
        <v>0</v>
      </c>
      <c r="L1194" s="4"/>
      <c r="M1194" s="4"/>
      <c r="N1194" s="11">
        <v>500</v>
      </c>
      <c r="O1194" s="4" t="s">
        <v>56</v>
      </c>
      <c r="P1194" s="4" t="s">
        <v>57</v>
      </c>
      <c r="Q1194" s="11">
        <v>0</v>
      </c>
      <c r="R1194" s="4"/>
      <c r="S1194" s="12"/>
    </row>
    <row r="1195" spans="1:19" x14ac:dyDescent="0.25">
      <c r="A1195" s="9" t="s">
        <v>959</v>
      </c>
      <c r="B1195" s="9" t="s">
        <v>291</v>
      </c>
      <c r="C1195" s="4">
        <v>201003674</v>
      </c>
      <c r="D1195" s="4" t="s">
        <v>961</v>
      </c>
      <c r="E1195" s="4" t="str">
        <f>"073442010"</f>
        <v>073442010</v>
      </c>
      <c r="F1195" s="10">
        <v>40324</v>
      </c>
      <c r="G1195" s="11">
        <v>576.72</v>
      </c>
      <c r="H1195" s="11">
        <v>0</v>
      </c>
      <c r="I1195" s="4"/>
      <c r="J1195" s="4"/>
      <c r="K1195" s="11">
        <v>0</v>
      </c>
      <c r="L1195" s="4"/>
      <c r="M1195" s="4"/>
      <c r="N1195" s="11">
        <v>576.72</v>
      </c>
      <c r="O1195" s="4" t="s">
        <v>56</v>
      </c>
      <c r="P1195" s="4" t="s">
        <v>57</v>
      </c>
      <c r="Q1195" s="11">
        <v>0</v>
      </c>
      <c r="R1195" s="4"/>
      <c r="S1195" s="12"/>
    </row>
    <row r="1196" spans="1:19" x14ac:dyDescent="0.25">
      <c r="A1196" s="9" t="s">
        <v>959</v>
      </c>
      <c r="B1196" s="9" t="s">
        <v>291</v>
      </c>
      <c r="C1196" s="4">
        <v>201003757</v>
      </c>
      <c r="D1196" s="4"/>
      <c r="E1196" s="4" t="str">
        <f>"074562010"</f>
        <v>074562010</v>
      </c>
      <c r="F1196" s="10">
        <v>40331</v>
      </c>
      <c r="G1196" s="11">
        <v>92.4</v>
      </c>
      <c r="H1196" s="11">
        <v>0</v>
      </c>
      <c r="I1196" s="4"/>
      <c r="J1196" s="4"/>
      <c r="K1196" s="11">
        <v>0</v>
      </c>
      <c r="L1196" s="4"/>
      <c r="M1196" s="4"/>
      <c r="N1196" s="11">
        <v>92.4</v>
      </c>
      <c r="O1196" s="4" t="s">
        <v>56</v>
      </c>
      <c r="P1196" s="4" t="s">
        <v>57</v>
      </c>
      <c r="Q1196" s="11">
        <v>0</v>
      </c>
      <c r="R1196" s="4"/>
      <c r="S1196" s="12"/>
    </row>
    <row r="1197" spans="1:19" x14ac:dyDescent="0.25">
      <c r="A1197" s="9" t="s">
        <v>959</v>
      </c>
      <c r="B1197" s="9" t="s">
        <v>291</v>
      </c>
      <c r="C1197" s="4">
        <v>201003888</v>
      </c>
      <c r="D1197" s="4" t="s">
        <v>315</v>
      </c>
      <c r="E1197" s="4" t="str">
        <f>"076272010"</f>
        <v>076272010</v>
      </c>
      <c r="F1197" s="10">
        <v>40333</v>
      </c>
      <c r="G1197" s="11">
        <v>312.39999999999998</v>
      </c>
      <c r="H1197" s="11">
        <v>0</v>
      </c>
      <c r="I1197" s="4"/>
      <c r="J1197" s="4"/>
      <c r="K1197" s="11">
        <v>0</v>
      </c>
      <c r="L1197" s="4"/>
      <c r="M1197" s="4"/>
      <c r="N1197" s="11">
        <v>312.39999999999998</v>
      </c>
      <c r="O1197" s="4" t="s">
        <v>56</v>
      </c>
      <c r="P1197" s="4" t="s">
        <v>57</v>
      </c>
      <c r="Q1197" s="11">
        <v>0</v>
      </c>
      <c r="R1197" s="4"/>
      <c r="S1197" s="12"/>
    </row>
    <row r="1198" spans="1:19" x14ac:dyDescent="0.25">
      <c r="A1198" s="9" t="s">
        <v>959</v>
      </c>
      <c r="B1198" s="9" t="s">
        <v>291</v>
      </c>
      <c r="C1198" s="4">
        <v>201005422</v>
      </c>
      <c r="D1198" s="4" t="s">
        <v>250</v>
      </c>
      <c r="E1198" s="4" t="str">
        <f>"111412010"</f>
        <v>111412010</v>
      </c>
      <c r="F1198" s="10">
        <v>40438</v>
      </c>
      <c r="G1198" s="11">
        <v>5141.62</v>
      </c>
      <c r="H1198" s="11">
        <v>5141.62</v>
      </c>
      <c r="I1198" s="4" t="s">
        <v>251</v>
      </c>
      <c r="J1198" s="4" t="s">
        <v>252</v>
      </c>
      <c r="K1198" s="11">
        <v>0</v>
      </c>
      <c r="L1198" s="4"/>
      <c r="M1198" s="4"/>
      <c r="N1198" s="11">
        <v>0</v>
      </c>
      <c r="O1198" s="4"/>
      <c r="P1198" s="4"/>
      <c r="Q1198" s="11">
        <v>0</v>
      </c>
      <c r="R1198" s="4"/>
      <c r="S1198" s="12"/>
    </row>
    <row r="1199" spans="1:19" x14ac:dyDescent="0.25">
      <c r="A1199" s="9" t="s">
        <v>959</v>
      </c>
      <c r="B1199" s="9" t="s">
        <v>291</v>
      </c>
      <c r="C1199" s="4">
        <v>201005422</v>
      </c>
      <c r="D1199" s="4" t="s">
        <v>250</v>
      </c>
      <c r="E1199" s="4" t="str">
        <f>"111432010"</f>
        <v>111432010</v>
      </c>
      <c r="F1199" s="10">
        <v>40449</v>
      </c>
      <c r="G1199" s="11">
        <v>703.28</v>
      </c>
      <c r="H1199" s="11">
        <v>703.28</v>
      </c>
      <c r="I1199" s="4" t="s">
        <v>251</v>
      </c>
      <c r="J1199" s="4" t="s">
        <v>252</v>
      </c>
      <c r="K1199" s="11">
        <v>0</v>
      </c>
      <c r="L1199" s="4"/>
      <c r="M1199" s="4"/>
      <c r="N1199" s="11">
        <v>0</v>
      </c>
      <c r="O1199" s="4"/>
      <c r="P1199" s="4"/>
      <c r="Q1199" s="11">
        <v>0</v>
      </c>
      <c r="R1199" s="4"/>
      <c r="S1199" s="12"/>
    </row>
    <row r="1200" spans="1:19" x14ac:dyDescent="0.25">
      <c r="A1200" s="9" t="s">
        <v>959</v>
      </c>
      <c r="B1200" s="9" t="s">
        <v>291</v>
      </c>
      <c r="C1200" s="4">
        <v>201005422</v>
      </c>
      <c r="D1200" s="4" t="s">
        <v>250</v>
      </c>
      <c r="E1200" s="4" t="str">
        <f>"111452010"</f>
        <v>111452010</v>
      </c>
      <c r="F1200" s="10">
        <v>40449</v>
      </c>
      <c r="G1200" s="11">
        <v>264.77999999999997</v>
      </c>
      <c r="H1200" s="11">
        <v>264.77999999999997</v>
      </c>
      <c r="I1200" s="4" t="s">
        <v>251</v>
      </c>
      <c r="J1200" s="4" t="s">
        <v>252</v>
      </c>
      <c r="K1200" s="11">
        <v>0</v>
      </c>
      <c r="L1200" s="4"/>
      <c r="M1200" s="4"/>
      <c r="N1200" s="11">
        <v>0</v>
      </c>
      <c r="O1200" s="4"/>
      <c r="P1200" s="4"/>
      <c r="Q1200" s="11">
        <v>0</v>
      </c>
      <c r="R1200" s="4"/>
      <c r="S1200" s="12"/>
    </row>
    <row r="1201" spans="1:19" x14ac:dyDescent="0.25">
      <c r="A1201" s="9" t="s">
        <v>962</v>
      </c>
      <c r="B1201" s="9" t="s">
        <v>291</v>
      </c>
      <c r="C1201" s="4">
        <v>201001997</v>
      </c>
      <c r="D1201" s="4" t="s">
        <v>963</v>
      </c>
      <c r="E1201" s="4" t="str">
        <f>"039462010"</f>
        <v>039462010</v>
      </c>
      <c r="F1201" s="10">
        <v>40232</v>
      </c>
      <c r="G1201" s="11">
        <v>12500</v>
      </c>
      <c r="H1201" s="11">
        <v>12500</v>
      </c>
      <c r="I1201" s="4" t="s">
        <v>68</v>
      </c>
      <c r="J1201" s="4" t="s">
        <v>69</v>
      </c>
      <c r="K1201" s="11">
        <v>0</v>
      </c>
      <c r="L1201" s="4"/>
      <c r="M1201" s="4"/>
      <c r="N1201" s="11">
        <v>0</v>
      </c>
      <c r="O1201" s="4"/>
      <c r="P1201" s="4"/>
      <c r="Q1201" s="11">
        <v>0</v>
      </c>
      <c r="R1201" s="4"/>
      <c r="S1201" s="12"/>
    </row>
    <row r="1202" spans="1:19" x14ac:dyDescent="0.25">
      <c r="A1202" s="9" t="s">
        <v>964</v>
      </c>
      <c r="B1202" s="9" t="s">
        <v>291</v>
      </c>
      <c r="C1202" s="4">
        <v>201000051</v>
      </c>
      <c r="D1202" s="4" t="s">
        <v>965</v>
      </c>
      <c r="E1202" s="4" t="str">
        <f>"000702010"</f>
        <v>000702010</v>
      </c>
      <c r="F1202" s="10">
        <v>40092</v>
      </c>
      <c r="G1202" s="11">
        <v>40000</v>
      </c>
      <c r="H1202" s="11">
        <v>40000</v>
      </c>
      <c r="I1202" s="4" t="s">
        <v>72</v>
      </c>
      <c r="J1202" s="4" t="s">
        <v>73</v>
      </c>
      <c r="K1202" s="11">
        <v>0</v>
      </c>
      <c r="L1202" s="4"/>
      <c r="M1202" s="4"/>
      <c r="N1202" s="11">
        <v>0</v>
      </c>
      <c r="O1202" s="4"/>
      <c r="P1202" s="4"/>
      <c r="Q1202" s="11">
        <v>0</v>
      </c>
      <c r="R1202" s="4"/>
      <c r="S1202" s="12"/>
    </row>
    <row r="1203" spans="1:19" x14ac:dyDescent="0.25">
      <c r="A1203" s="9" t="s">
        <v>964</v>
      </c>
      <c r="B1203" s="9" t="s">
        <v>291</v>
      </c>
      <c r="C1203" s="4">
        <v>201000709</v>
      </c>
      <c r="D1203" s="4" t="s">
        <v>966</v>
      </c>
      <c r="E1203" s="4" t="str">
        <f>"013822010"</f>
        <v>013822010</v>
      </c>
      <c r="F1203" s="10">
        <v>40141</v>
      </c>
      <c r="G1203" s="11">
        <v>75000</v>
      </c>
      <c r="H1203" s="11">
        <v>75000</v>
      </c>
      <c r="I1203" s="4" t="s">
        <v>72</v>
      </c>
      <c r="J1203" s="4" t="s">
        <v>73</v>
      </c>
      <c r="K1203" s="11">
        <v>0</v>
      </c>
      <c r="L1203" s="4"/>
      <c r="M1203" s="4"/>
      <c r="N1203" s="11">
        <v>0</v>
      </c>
      <c r="O1203" s="4"/>
      <c r="P1203" s="4"/>
      <c r="Q1203" s="11">
        <v>0</v>
      </c>
      <c r="R1203" s="4"/>
      <c r="S1203" s="12"/>
    </row>
    <row r="1204" spans="1:19" x14ac:dyDescent="0.25">
      <c r="A1204" s="9" t="s">
        <v>964</v>
      </c>
      <c r="B1204" s="9" t="s">
        <v>291</v>
      </c>
      <c r="C1204" s="4">
        <v>201000969</v>
      </c>
      <c r="D1204" s="4" t="s">
        <v>967</v>
      </c>
      <c r="E1204" s="4" t="str">
        <f>"018832010"</f>
        <v>018832010</v>
      </c>
      <c r="F1204" s="10">
        <v>40154</v>
      </c>
      <c r="G1204" s="11">
        <v>500000</v>
      </c>
      <c r="H1204" s="11">
        <v>500000</v>
      </c>
      <c r="I1204" s="4" t="s">
        <v>72</v>
      </c>
      <c r="J1204" s="4" t="s">
        <v>73</v>
      </c>
      <c r="K1204" s="11">
        <v>0</v>
      </c>
      <c r="L1204" s="4"/>
      <c r="M1204" s="4"/>
      <c r="N1204" s="11">
        <v>0</v>
      </c>
      <c r="O1204" s="4"/>
      <c r="P1204" s="4"/>
      <c r="Q1204" s="11">
        <v>0</v>
      </c>
      <c r="R1204" s="4"/>
      <c r="S1204" s="12"/>
    </row>
    <row r="1205" spans="1:19" x14ac:dyDescent="0.25">
      <c r="A1205" s="9" t="s">
        <v>964</v>
      </c>
      <c r="B1205" s="9" t="s">
        <v>291</v>
      </c>
      <c r="C1205" s="4">
        <v>201001305</v>
      </c>
      <c r="D1205" s="4" t="s">
        <v>968</v>
      </c>
      <c r="E1205" s="4" t="str">
        <f>"027832010"</f>
        <v>027832010</v>
      </c>
      <c r="F1205" s="10">
        <v>40185</v>
      </c>
      <c r="G1205" s="11">
        <v>35000</v>
      </c>
      <c r="H1205" s="11">
        <v>35000</v>
      </c>
      <c r="I1205" s="4" t="s">
        <v>72</v>
      </c>
      <c r="J1205" s="4" t="s">
        <v>73</v>
      </c>
      <c r="K1205" s="11">
        <v>0</v>
      </c>
      <c r="L1205" s="4"/>
      <c r="M1205" s="4"/>
      <c r="N1205" s="11">
        <v>0</v>
      </c>
      <c r="O1205" s="4"/>
      <c r="P1205" s="4"/>
      <c r="Q1205" s="11">
        <v>0</v>
      </c>
      <c r="R1205" s="4"/>
      <c r="S1205" s="12"/>
    </row>
    <row r="1206" spans="1:19" x14ac:dyDescent="0.25">
      <c r="A1206" s="9" t="s">
        <v>964</v>
      </c>
      <c r="B1206" s="9" t="s">
        <v>291</v>
      </c>
      <c r="C1206" s="4">
        <v>201001361</v>
      </c>
      <c r="D1206" s="4" t="s">
        <v>969</v>
      </c>
      <c r="E1206" s="4" t="str">
        <f>"029472010"</f>
        <v>029472010</v>
      </c>
      <c r="F1206" s="10">
        <v>40192</v>
      </c>
      <c r="G1206" s="11">
        <v>1800000</v>
      </c>
      <c r="H1206" s="11">
        <v>1800000</v>
      </c>
      <c r="I1206" s="4" t="s">
        <v>72</v>
      </c>
      <c r="J1206" s="4" t="s">
        <v>73</v>
      </c>
      <c r="K1206" s="11">
        <v>0</v>
      </c>
      <c r="L1206" s="4"/>
      <c r="M1206" s="4"/>
      <c r="N1206" s="11">
        <v>0</v>
      </c>
      <c r="O1206" s="4"/>
      <c r="P1206" s="4"/>
      <c r="Q1206" s="11">
        <v>0</v>
      </c>
      <c r="R1206" s="4"/>
      <c r="S1206" s="12"/>
    </row>
    <row r="1207" spans="1:19" x14ac:dyDescent="0.25">
      <c r="A1207" s="9" t="s">
        <v>964</v>
      </c>
      <c r="B1207" s="9" t="s">
        <v>291</v>
      </c>
      <c r="C1207" s="4">
        <v>201001591</v>
      </c>
      <c r="D1207" s="4" t="s">
        <v>970</v>
      </c>
      <c r="E1207" s="4" t="str">
        <f>"031202010"</f>
        <v>031202010</v>
      </c>
      <c r="F1207" s="10">
        <v>40197</v>
      </c>
      <c r="G1207" s="11">
        <v>410000</v>
      </c>
      <c r="H1207" s="11">
        <v>410000</v>
      </c>
      <c r="I1207" s="4" t="s">
        <v>72</v>
      </c>
      <c r="J1207" s="4" t="s">
        <v>73</v>
      </c>
      <c r="K1207" s="11">
        <v>0</v>
      </c>
      <c r="L1207" s="4"/>
      <c r="M1207" s="4"/>
      <c r="N1207" s="11">
        <v>0</v>
      </c>
      <c r="O1207" s="4"/>
      <c r="P1207" s="4"/>
      <c r="Q1207" s="11">
        <v>0</v>
      </c>
      <c r="R1207" s="4"/>
      <c r="S1207" s="12"/>
    </row>
    <row r="1208" spans="1:19" x14ac:dyDescent="0.25">
      <c r="A1208" s="9" t="s">
        <v>964</v>
      </c>
      <c r="B1208" s="9" t="s">
        <v>265</v>
      </c>
      <c r="C1208" s="4">
        <v>201002197</v>
      </c>
      <c r="D1208" s="4" t="s">
        <v>971</v>
      </c>
      <c r="E1208" s="4" t="str">
        <f>"050582010"</f>
        <v>050582010</v>
      </c>
      <c r="F1208" s="10">
        <v>40262</v>
      </c>
      <c r="G1208" s="11">
        <v>337408.79</v>
      </c>
      <c r="H1208" s="11">
        <v>337408.79</v>
      </c>
      <c r="I1208" s="4" t="s">
        <v>72</v>
      </c>
      <c r="J1208" s="4" t="s">
        <v>73</v>
      </c>
      <c r="K1208" s="11">
        <v>0</v>
      </c>
      <c r="L1208" s="4"/>
      <c r="M1208" s="4"/>
      <c r="N1208" s="11">
        <v>0</v>
      </c>
      <c r="O1208" s="4"/>
      <c r="P1208" s="4"/>
      <c r="Q1208" s="11">
        <v>0</v>
      </c>
      <c r="R1208" s="4"/>
      <c r="S1208" s="12"/>
    </row>
    <row r="1209" spans="1:19" x14ac:dyDescent="0.25">
      <c r="A1209" s="9" t="s">
        <v>964</v>
      </c>
      <c r="B1209" s="9" t="s">
        <v>291</v>
      </c>
      <c r="C1209" s="4">
        <v>201002243</v>
      </c>
      <c r="D1209" s="4" t="s">
        <v>972</v>
      </c>
      <c r="E1209" s="4" t="str">
        <f>"045402010"</f>
        <v>045402010</v>
      </c>
      <c r="F1209" s="10">
        <v>40247</v>
      </c>
      <c r="G1209" s="11">
        <v>500000</v>
      </c>
      <c r="H1209" s="11">
        <v>500000</v>
      </c>
      <c r="I1209" s="4" t="s">
        <v>72</v>
      </c>
      <c r="J1209" s="4" t="s">
        <v>73</v>
      </c>
      <c r="K1209" s="11">
        <v>0</v>
      </c>
      <c r="L1209" s="4"/>
      <c r="M1209" s="4"/>
      <c r="N1209" s="11">
        <v>0</v>
      </c>
      <c r="O1209" s="4"/>
      <c r="P1209" s="4"/>
      <c r="Q1209" s="11">
        <v>0</v>
      </c>
      <c r="R1209" s="4"/>
      <c r="S1209" s="12"/>
    </row>
    <row r="1210" spans="1:19" x14ac:dyDescent="0.25">
      <c r="A1210" s="9" t="s">
        <v>964</v>
      </c>
      <c r="B1210" s="9" t="s">
        <v>291</v>
      </c>
      <c r="C1210" s="4">
        <v>201002267</v>
      </c>
      <c r="D1210" s="4" t="s">
        <v>973</v>
      </c>
      <c r="E1210" s="4" t="str">
        <f>"048962010"</f>
        <v>048962010</v>
      </c>
      <c r="F1210" s="10">
        <v>40256</v>
      </c>
      <c r="G1210" s="11">
        <v>65000</v>
      </c>
      <c r="H1210" s="11">
        <v>65000</v>
      </c>
      <c r="I1210" s="4" t="s">
        <v>72</v>
      </c>
      <c r="J1210" s="4" t="s">
        <v>73</v>
      </c>
      <c r="K1210" s="11">
        <v>0</v>
      </c>
      <c r="L1210" s="4"/>
      <c r="M1210" s="4"/>
      <c r="N1210" s="11">
        <v>0</v>
      </c>
      <c r="O1210" s="4"/>
      <c r="P1210" s="4"/>
      <c r="Q1210" s="11">
        <v>0</v>
      </c>
      <c r="R1210" s="4"/>
      <c r="S1210" s="12"/>
    </row>
    <row r="1211" spans="1:19" x14ac:dyDescent="0.25">
      <c r="A1211" s="9" t="s">
        <v>964</v>
      </c>
      <c r="B1211" s="9" t="s">
        <v>291</v>
      </c>
      <c r="C1211" s="4">
        <v>201002286</v>
      </c>
      <c r="D1211" s="4" t="s">
        <v>971</v>
      </c>
      <c r="E1211" s="4" t="str">
        <f>"044662010"</f>
        <v>044662010</v>
      </c>
      <c r="F1211" s="10">
        <v>40245</v>
      </c>
      <c r="G1211" s="11">
        <v>1803.89</v>
      </c>
      <c r="H1211" s="11">
        <v>1803.89</v>
      </c>
      <c r="I1211" s="4" t="s">
        <v>72</v>
      </c>
      <c r="J1211" s="4" t="s">
        <v>73</v>
      </c>
      <c r="K1211" s="11">
        <v>0</v>
      </c>
      <c r="L1211" s="4"/>
      <c r="M1211" s="4"/>
      <c r="N1211" s="11">
        <v>0</v>
      </c>
      <c r="O1211" s="4"/>
      <c r="P1211" s="4"/>
      <c r="Q1211" s="11">
        <v>0</v>
      </c>
      <c r="R1211" s="4"/>
      <c r="S1211" s="12"/>
    </row>
    <row r="1212" spans="1:19" x14ac:dyDescent="0.25">
      <c r="A1212" s="9" t="s">
        <v>964</v>
      </c>
      <c r="B1212" s="9" t="s">
        <v>291</v>
      </c>
      <c r="C1212" s="4">
        <v>201002411</v>
      </c>
      <c r="D1212" s="4" t="s">
        <v>974</v>
      </c>
      <c r="E1212" s="4" t="str">
        <f>"047722010"</f>
        <v>047722010</v>
      </c>
      <c r="F1212" s="10">
        <v>40254</v>
      </c>
      <c r="G1212" s="11">
        <v>250000</v>
      </c>
      <c r="H1212" s="11">
        <v>250000</v>
      </c>
      <c r="I1212" s="4" t="s">
        <v>72</v>
      </c>
      <c r="J1212" s="4" t="s">
        <v>73</v>
      </c>
      <c r="K1212" s="11">
        <v>0</v>
      </c>
      <c r="L1212" s="4"/>
      <c r="M1212" s="4"/>
      <c r="N1212" s="11">
        <v>0</v>
      </c>
      <c r="O1212" s="4"/>
      <c r="P1212" s="4"/>
      <c r="Q1212" s="11">
        <v>0</v>
      </c>
      <c r="R1212" s="4"/>
      <c r="S1212" s="12"/>
    </row>
    <row r="1213" spans="1:19" x14ac:dyDescent="0.25">
      <c r="A1213" s="9" t="s">
        <v>964</v>
      </c>
      <c r="B1213" s="9" t="s">
        <v>291</v>
      </c>
      <c r="C1213" s="4">
        <v>201002446</v>
      </c>
      <c r="D1213" s="4" t="s">
        <v>975</v>
      </c>
      <c r="E1213" s="4" t="str">
        <f>"054782010"</f>
        <v>054782010</v>
      </c>
      <c r="F1213" s="10">
        <v>40281</v>
      </c>
      <c r="G1213" s="11">
        <v>89000</v>
      </c>
      <c r="H1213" s="11">
        <v>89000</v>
      </c>
      <c r="I1213" s="4" t="s">
        <v>72</v>
      </c>
      <c r="J1213" s="4" t="s">
        <v>73</v>
      </c>
      <c r="K1213" s="11">
        <v>0</v>
      </c>
      <c r="L1213" s="4"/>
      <c r="M1213" s="4"/>
      <c r="N1213" s="11">
        <v>0</v>
      </c>
      <c r="O1213" s="4"/>
      <c r="P1213" s="4"/>
      <c r="Q1213" s="11">
        <v>0</v>
      </c>
      <c r="R1213" s="4"/>
      <c r="S1213" s="12"/>
    </row>
    <row r="1214" spans="1:19" x14ac:dyDescent="0.25">
      <c r="A1214" s="9" t="s">
        <v>964</v>
      </c>
      <c r="B1214" s="9" t="s">
        <v>291</v>
      </c>
      <c r="C1214" s="4">
        <v>201002468</v>
      </c>
      <c r="D1214" s="4" t="s">
        <v>976</v>
      </c>
      <c r="E1214" s="4" t="str">
        <f>"051762010"</f>
        <v>051762010</v>
      </c>
      <c r="F1214" s="10">
        <v>40263</v>
      </c>
      <c r="G1214" s="11">
        <v>87500</v>
      </c>
      <c r="H1214" s="11">
        <v>87500</v>
      </c>
      <c r="I1214" s="4" t="s">
        <v>72</v>
      </c>
      <c r="J1214" s="4" t="s">
        <v>73</v>
      </c>
      <c r="K1214" s="11">
        <v>0</v>
      </c>
      <c r="L1214" s="4"/>
      <c r="M1214" s="4"/>
      <c r="N1214" s="11">
        <v>0</v>
      </c>
      <c r="O1214" s="4"/>
      <c r="P1214" s="4"/>
      <c r="Q1214" s="11">
        <v>0</v>
      </c>
      <c r="R1214" s="4"/>
      <c r="S1214" s="12"/>
    </row>
    <row r="1215" spans="1:19" x14ac:dyDescent="0.25">
      <c r="A1215" s="9" t="s">
        <v>964</v>
      </c>
      <c r="B1215" s="9" t="s">
        <v>291</v>
      </c>
      <c r="C1215" s="4">
        <v>201002706</v>
      </c>
      <c r="D1215" s="4" t="s">
        <v>977</v>
      </c>
      <c r="E1215" s="4" t="str">
        <f>"053162010"</f>
        <v>053162010</v>
      </c>
      <c r="F1215" s="10">
        <v>40274</v>
      </c>
      <c r="G1215" s="11">
        <v>5000</v>
      </c>
      <c r="H1215" s="11">
        <v>5000</v>
      </c>
      <c r="I1215" s="4" t="s">
        <v>72</v>
      </c>
      <c r="J1215" s="4" t="s">
        <v>73</v>
      </c>
      <c r="K1215" s="11">
        <v>0</v>
      </c>
      <c r="L1215" s="4"/>
      <c r="M1215" s="4"/>
      <c r="N1215" s="11">
        <v>0</v>
      </c>
      <c r="O1215" s="4"/>
      <c r="P1215" s="4"/>
      <c r="Q1215" s="11">
        <v>0</v>
      </c>
      <c r="R1215" s="4"/>
      <c r="S1215" s="12"/>
    </row>
    <row r="1216" spans="1:19" x14ac:dyDescent="0.25">
      <c r="A1216" s="9" t="s">
        <v>964</v>
      </c>
      <c r="B1216" s="9" t="s">
        <v>291</v>
      </c>
      <c r="C1216" s="4">
        <v>201002868</v>
      </c>
      <c r="D1216" s="4" t="s">
        <v>978</v>
      </c>
      <c r="E1216" s="4" t="str">
        <f>"056252010"</f>
        <v>056252010</v>
      </c>
      <c r="F1216" s="10">
        <v>40275</v>
      </c>
      <c r="G1216" s="11">
        <v>175000</v>
      </c>
      <c r="H1216" s="11">
        <v>175000</v>
      </c>
      <c r="I1216" s="4" t="s">
        <v>72</v>
      </c>
      <c r="J1216" s="4" t="s">
        <v>73</v>
      </c>
      <c r="K1216" s="11">
        <v>0</v>
      </c>
      <c r="L1216" s="4"/>
      <c r="M1216" s="4"/>
      <c r="N1216" s="11">
        <v>0</v>
      </c>
      <c r="O1216" s="4"/>
      <c r="P1216" s="4"/>
      <c r="Q1216" s="11">
        <v>0</v>
      </c>
      <c r="R1216" s="4"/>
      <c r="S1216" s="12"/>
    </row>
    <row r="1217" spans="1:19" x14ac:dyDescent="0.25">
      <c r="A1217" s="9" t="s">
        <v>964</v>
      </c>
      <c r="B1217" s="9" t="s">
        <v>291</v>
      </c>
      <c r="C1217" s="4">
        <v>201003071</v>
      </c>
      <c r="D1217" s="4" t="s">
        <v>979</v>
      </c>
      <c r="E1217" s="4" t="str">
        <f>"068002010"</f>
        <v>068002010</v>
      </c>
      <c r="F1217" s="10">
        <v>40310</v>
      </c>
      <c r="G1217" s="11">
        <v>1000000</v>
      </c>
      <c r="H1217" s="11">
        <v>1000000</v>
      </c>
      <c r="I1217" s="4" t="s">
        <v>72</v>
      </c>
      <c r="J1217" s="4" t="s">
        <v>73</v>
      </c>
      <c r="K1217" s="11">
        <v>0</v>
      </c>
      <c r="L1217" s="4"/>
      <c r="M1217" s="4"/>
      <c r="N1217" s="11">
        <v>0</v>
      </c>
      <c r="O1217" s="4"/>
      <c r="P1217" s="4"/>
      <c r="Q1217" s="11">
        <v>0</v>
      </c>
      <c r="R1217" s="4"/>
      <c r="S1217" s="12"/>
    </row>
    <row r="1218" spans="1:19" x14ac:dyDescent="0.25">
      <c r="A1218" s="9" t="s">
        <v>964</v>
      </c>
      <c r="B1218" s="9" t="s">
        <v>291</v>
      </c>
      <c r="C1218" s="4">
        <v>201003235</v>
      </c>
      <c r="D1218" s="4" t="s">
        <v>980</v>
      </c>
      <c r="E1218" s="4" t="str">
        <f>"064342010"</f>
        <v>064342010</v>
      </c>
      <c r="F1218" s="10">
        <v>40302</v>
      </c>
      <c r="G1218" s="11">
        <v>100000</v>
      </c>
      <c r="H1218" s="11">
        <v>100000</v>
      </c>
      <c r="I1218" s="4" t="s">
        <v>72</v>
      </c>
      <c r="J1218" s="4" t="s">
        <v>73</v>
      </c>
      <c r="K1218" s="11">
        <v>0</v>
      </c>
      <c r="L1218" s="4"/>
      <c r="M1218" s="4"/>
      <c r="N1218" s="11">
        <v>0</v>
      </c>
      <c r="O1218" s="4"/>
      <c r="P1218" s="4"/>
      <c r="Q1218" s="11">
        <v>0</v>
      </c>
      <c r="R1218" s="4"/>
      <c r="S1218" s="12"/>
    </row>
    <row r="1219" spans="1:19" x14ac:dyDescent="0.25">
      <c r="A1219" s="9" t="s">
        <v>964</v>
      </c>
      <c r="B1219" s="9" t="s">
        <v>291</v>
      </c>
      <c r="C1219" s="4">
        <v>201003299</v>
      </c>
      <c r="D1219" s="4" t="s">
        <v>52</v>
      </c>
      <c r="E1219" s="4" t="str">
        <f>"076982010"</f>
        <v>076982010</v>
      </c>
      <c r="F1219" s="10">
        <v>40337</v>
      </c>
      <c r="G1219" s="11">
        <v>70000</v>
      </c>
      <c r="H1219" s="11">
        <v>70000</v>
      </c>
      <c r="I1219" s="4" t="s">
        <v>687</v>
      </c>
      <c r="J1219" s="4" t="s">
        <v>688</v>
      </c>
      <c r="K1219" s="11">
        <v>0</v>
      </c>
      <c r="L1219" s="4"/>
      <c r="M1219" s="4"/>
      <c r="N1219" s="11">
        <v>0</v>
      </c>
      <c r="O1219" s="4"/>
      <c r="P1219" s="4"/>
      <c r="Q1219" s="11">
        <v>0</v>
      </c>
      <c r="R1219" s="4"/>
      <c r="S1219" s="12"/>
    </row>
    <row r="1220" spans="1:19" x14ac:dyDescent="0.25">
      <c r="A1220" s="9" t="s">
        <v>964</v>
      </c>
      <c r="B1220" s="9" t="s">
        <v>291</v>
      </c>
      <c r="C1220" s="4">
        <v>201003423</v>
      </c>
      <c r="D1220" s="4" t="s">
        <v>981</v>
      </c>
      <c r="E1220" s="4" t="str">
        <f>"068602010"</f>
        <v>068602010</v>
      </c>
      <c r="F1220" s="10">
        <v>40318</v>
      </c>
      <c r="G1220" s="11">
        <v>30000</v>
      </c>
      <c r="H1220" s="11">
        <v>30000</v>
      </c>
      <c r="I1220" s="4" t="s">
        <v>72</v>
      </c>
      <c r="J1220" s="4" t="s">
        <v>73</v>
      </c>
      <c r="K1220" s="11">
        <v>0</v>
      </c>
      <c r="L1220" s="4"/>
      <c r="M1220" s="4"/>
      <c r="N1220" s="11">
        <v>0</v>
      </c>
      <c r="O1220" s="4"/>
      <c r="P1220" s="4"/>
      <c r="Q1220" s="11">
        <v>0</v>
      </c>
      <c r="R1220" s="4"/>
      <c r="S1220" s="12"/>
    </row>
    <row r="1221" spans="1:19" x14ac:dyDescent="0.25">
      <c r="A1221" s="9" t="s">
        <v>964</v>
      </c>
      <c r="B1221" s="9" t="s">
        <v>291</v>
      </c>
      <c r="C1221" s="4">
        <v>201003427</v>
      </c>
      <c r="D1221" s="4" t="s">
        <v>982</v>
      </c>
      <c r="E1221" s="4" t="str">
        <f>"068542010"</f>
        <v>068542010</v>
      </c>
      <c r="F1221" s="10">
        <v>40312</v>
      </c>
      <c r="G1221" s="11">
        <v>50000</v>
      </c>
      <c r="H1221" s="11">
        <v>50000</v>
      </c>
      <c r="I1221" s="4" t="s">
        <v>72</v>
      </c>
      <c r="J1221" s="4" t="s">
        <v>73</v>
      </c>
      <c r="K1221" s="11">
        <v>0</v>
      </c>
      <c r="L1221" s="4"/>
      <c r="M1221" s="4"/>
      <c r="N1221" s="11">
        <v>0</v>
      </c>
      <c r="O1221" s="4"/>
      <c r="P1221" s="4"/>
      <c r="Q1221" s="11">
        <v>0</v>
      </c>
      <c r="R1221" s="4"/>
      <c r="S1221" s="12"/>
    </row>
    <row r="1222" spans="1:19" x14ac:dyDescent="0.25">
      <c r="A1222" s="9" t="s">
        <v>964</v>
      </c>
      <c r="B1222" s="9" t="s">
        <v>291</v>
      </c>
      <c r="C1222" s="4">
        <v>201003808</v>
      </c>
      <c r="D1222" s="4" t="s">
        <v>983</v>
      </c>
      <c r="E1222" s="4" t="str">
        <f>"081022010"</f>
        <v>081022010</v>
      </c>
      <c r="F1222" s="10">
        <v>40345</v>
      </c>
      <c r="G1222" s="11">
        <v>3500000</v>
      </c>
      <c r="H1222" s="11">
        <v>3500000</v>
      </c>
      <c r="I1222" s="4" t="s">
        <v>72</v>
      </c>
      <c r="J1222" s="4" t="s">
        <v>73</v>
      </c>
      <c r="K1222" s="11">
        <v>0</v>
      </c>
      <c r="L1222" s="4"/>
      <c r="M1222" s="4"/>
      <c r="N1222" s="11">
        <v>0</v>
      </c>
      <c r="O1222" s="4"/>
      <c r="P1222" s="4"/>
      <c r="Q1222" s="11">
        <v>0</v>
      </c>
      <c r="R1222" s="4"/>
      <c r="S1222" s="12"/>
    </row>
    <row r="1223" spans="1:19" x14ac:dyDescent="0.25">
      <c r="A1223" s="9" t="s">
        <v>964</v>
      </c>
      <c r="B1223" s="9" t="s">
        <v>291</v>
      </c>
      <c r="C1223" s="4">
        <v>201003868</v>
      </c>
      <c r="D1223" s="4" t="s">
        <v>984</v>
      </c>
      <c r="E1223" s="4" t="str">
        <f>"080222010"</f>
        <v>080222010</v>
      </c>
      <c r="F1223" s="10">
        <v>40346</v>
      </c>
      <c r="G1223" s="11">
        <v>700000</v>
      </c>
      <c r="H1223" s="11">
        <v>700000</v>
      </c>
      <c r="I1223" s="4" t="s">
        <v>72</v>
      </c>
      <c r="J1223" s="4" t="s">
        <v>73</v>
      </c>
      <c r="K1223" s="11">
        <v>0</v>
      </c>
      <c r="L1223" s="4"/>
      <c r="M1223" s="4"/>
      <c r="N1223" s="11">
        <v>0</v>
      </c>
      <c r="O1223" s="4"/>
      <c r="P1223" s="4"/>
      <c r="Q1223" s="11">
        <v>0</v>
      </c>
      <c r="R1223" s="4"/>
      <c r="S1223" s="12"/>
    </row>
    <row r="1224" spans="1:19" x14ac:dyDescent="0.25">
      <c r="A1224" s="9" t="s">
        <v>964</v>
      </c>
      <c r="B1224" s="9" t="s">
        <v>291</v>
      </c>
      <c r="C1224" s="4">
        <v>201003923</v>
      </c>
      <c r="D1224" s="4" t="s">
        <v>985</v>
      </c>
      <c r="E1224" s="4" t="str">
        <f>"076472010"</f>
        <v>076472010</v>
      </c>
      <c r="F1224" s="10">
        <v>40336</v>
      </c>
      <c r="G1224" s="11">
        <v>650000</v>
      </c>
      <c r="H1224" s="11">
        <v>650000</v>
      </c>
      <c r="I1224" s="4" t="s">
        <v>72</v>
      </c>
      <c r="J1224" s="4" t="s">
        <v>73</v>
      </c>
      <c r="K1224" s="11">
        <v>0</v>
      </c>
      <c r="L1224" s="4"/>
      <c r="M1224" s="4"/>
      <c r="N1224" s="11">
        <v>0</v>
      </c>
      <c r="O1224" s="4"/>
      <c r="P1224" s="4"/>
      <c r="Q1224" s="11">
        <v>0</v>
      </c>
      <c r="R1224" s="4"/>
      <c r="S1224" s="12"/>
    </row>
    <row r="1225" spans="1:19" x14ac:dyDescent="0.25">
      <c r="A1225" s="9" t="s">
        <v>964</v>
      </c>
      <c r="B1225" s="9" t="s">
        <v>291</v>
      </c>
      <c r="C1225" s="4">
        <v>201004461</v>
      </c>
      <c r="D1225" s="4" t="s">
        <v>986</v>
      </c>
      <c r="E1225" s="4" t="str">
        <f>"091942010"</f>
        <v>091942010</v>
      </c>
      <c r="F1225" s="10">
        <v>40372</v>
      </c>
      <c r="G1225" s="11">
        <v>70000</v>
      </c>
      <c r="H1225" s="11">
        <v>70000</v>
      </c>
      <c r="I1225" s="4" t="s">
        <v>72</v>
      </c>
      <c r="J1225" s="4" t="s">
        <v>73</v>
      </c>
      <c r="K1225" s="11">
        <v>0</v>
      </c>
      <c r="L1225" s="4"/>
      <c r="M1225" s="4"/>
      <c r="N1225" s="11">
        <v>0</v>
      </c>
      <c r="O1225" s="4"/>
      <c r="P1225" s="4"/>
      <c r="Q1225" s="11">
        <v>0</v>
      </c>
      <c r="R1225" s="4"/>
      <c r="S1225" s="12"/>
    </row>
    <row r="1226" spans="1:19" x14ac:dyDescent="0.25">
      <c r="A1226" s="9" t="s">
        <v>964</v>
      </c>
      <c r="B1226" s="9" t="s">
        <v>265</v>
      </c>
      <c r="C1226" s="4">
        <v>201005052</v>
      </c>
      <c r="D1226" s="4" t="s">
        <v>987</v>
      </c>
      <c r="E1226" s="4" t="str">
        <f>"100672010"</f>
        <v>100672010</v>
      </c>
      <c r="F1226" s="10">
        <v>40403</v>
      </c>
      <c r="G1226" s="11">
        <v>250000</v>
      </c>
      <c r="H1226" s="11">
        <v>250000</v>
      </c>
      <c r="I1226" s="4" t="s">
        <v>98</v>
      </c>
      <c r="J1226" s="4" t="s">
        <v>99</v>
      </c>
      <c r="K1226" s="11">
        <v>0</v>
      </c>
      <c r="L1226" s="4"/>
      <c r="M1226" s="4"/>
      <c r="N1226" s="11">
        <v>0</v>
      </c>
      <c r="O1226" s="4"/>
      <c r="P1226" s="4"/>
      <c r="Q1226" s="11">
        <v>0</v>
      </c>
      <c r="R1226" s="4"/>
      <c r="S1226" s="12"/>
    </row>
    <row r="1227" spans="1:19" x14ac:dyDescent="0.25">
      <c r="A1227" s="9" t="s">
        <v>964</v>
      </c>
      <c r="B1227" s="9" t="s">
        <v>291</v>
      </c>
      <c r="C1227" s="4">
        <v>201005383</v>
      </c>
      <c r="D1227" s="4" t="s">
        <v>988</v>
      </c>
      <c r="E1227" s="4" t="str">
        <f>"111192010"</f>
        <v>111192010</v>
      </c>
      <c r="F1227" s="10">
        <v>40436</v>
      </c>
      <c r="G1227" s="11">
        <v>25000</v>
      </c>
      <c r="H1227" s="11">
        <v>25000</v>
      </c>
      <c r="I1227" s="4" t="s">
        <v>72</v>
      </c>
      <c r="J1227" s="4" t="s">
        <v>73</v>
      </c>
      <c r="K1227" s="11">
        <v>0</v>
      </c>
      <c r="L1227" s="4"/>
      <c r="M1227" s="4"/>
      <c r="N1227" s="11">
        <v>0</v>
      </c>
      <c r="O1227" s="4"/>
      <c r="P1227" s="4"/>
      <c r="Q1227" s="11">
        <v>0</v>
      </c>
      <c r="R1227" s="4"/>
      <c r="S1227" s="12"/>
    </row>
    <row r="1228" spans="1:19" x14ac:dyDescent="0.25">
      <c r="A1228" s="9" t="s">
        <v>989</v>
      </c>
      <c r="B1228" s="9" t="s">
        <v>291</v>
      </c>
      <c r="C1228" s="4">
        <v>200905650</v>
      </c>
      <c r="D1228" s="4" t="s">
        <v>2534</v>
      </c>
      <c r="E1228" s="4" t="str">
        <f>"088212009"</f>
        <v>088212009</v>
      </c>
      <c r="F1228" s="10">
        <v>40112</v>
      </c>
      <c r="G1228" s="11">
        <v>10000</v>
      </c>
      <c r="H1228" s="11">
        <v>0</v>
      </c>
      <c r="I1228" s="4"/>
      <c r="J1228" s="4"/>
      <c r="K1228" s="11">
        <v>10000</v>
      </c>
      <c r="L1228" s="4" t="s">
        <v>30</v>
      </c>
      <c r="M1228" s="4" t="s">
        <v>31</v>
      </c>
      <c r="N1228" s="11">
        <v>0</v>
      </c>
      <c r="O1228" s="4"/>
      <c r="P1228" s="4"/>
      <c r="Q1228" s="11">
        <v>0</v>
      </c>
      <c r="R1228" s="4"/>
      <c r="S1228" s="12"/>
    </row>
    <row r="1229" spans="1:19" x14ac:dyDescent="0.25">
      <c r="A1229" s="9" t="s">
        <v>990</v>
      </c>
      <c r="B1229" s="9" t="s">
        <v>291</v>
      </c>
      <c r="C1229" s="4">
        <v>201000003</v>
      </c>
      <c r="D1229" s="4" t="s">
        <v>991</v>
      </c>
      <c r="E1229" s="4" t="str">
        <f>"000142010"</f>
        <v>000142010</v>
      </c>
      <c r="F1229" s="10">
        <v>40094</v>
      </c>
      <c r="G1229" s="11">
        <v>391.5</v>
      </c>
      <c r="H1229" s="11">
        <v>0</v>
      </c>
      <c r="I1229" s="4"/>
      <c r="J1229" s="4"/>
      <c r="K1229" s="11">
        <v>0</v>
      </c>
      <c r="L1229" s="4"/>
      <c r="M1229" s="4"/>
      <c r="N1229" s="11">
        <v>391.5</v>
      </c>
      <c r="O1229" s="4" t="s">
        <v>56</v>
      </c>
      <c r="P1229" s="4" t="s">
        <v>57</v>
      </c>
      <c r="Q1229" s="11">
        <v>0</v>
      </c>
      <c r="R1229" s="4"/>
      <c r="S1229" s="12"/>
    </row>
    <row r="1230" spans="1:19" x14ac:dyDescent="0.25">
      <c r="A1230" s="9" t="s">
        <v>990</v>
      </c>
      <c r="B1230" s="9" t="s">
        <v>291</v>
      </c>
      <c r="C1230" s="4">
        <v>201000007</v>
      </c>
      <c r="D1230" s="4" t="s">
        <v>992</v>
      </c>
      <c r="E1230" s="4" t="str">
        <f>"000122010"</f>
        <v>000122010</v>
      </c>
      <c r="F1230" s="10">
        <v>40094</v>
      </c>
      <c r="G1230" s="11">
        <v>9.1999999999999993</v>
      </c>
      <c r="H1230" s="11">
        <v>0</v>
      </c>
      <c r="I1230" s="4"/>
      <c r="J1230" s="4"/>
      <c r="K1230" s="11">
        <v>0</v>
      </c>
      <c r="L1230" s="4"/>
      <c r="M1230" s="4"/>
      <c r="N1230" s="11">
        <v>9.1999999999999993</v>
      </c>
      <c r="O1230" s="4" t="s">
        <v>56</v>
      </c>
      <c r="P1230" s="4" t="s">
        <v>57</v>
      </c>
      <c r="Q1230" s="11">
        <v>0</v>
      </c>
      <c r="R1230" s="4"/>
      <c r="S1230" s="12"/>
    </row>
    <row r="1231" spans="1:19" x14ac:dyDescent="0.25">
      <c r="A1231" s="9" t="s">
        <v>990</v>
      </c>
      <c r="B1231" s="9" t="s">
        <v>291</v>
      </c>
      <c r="C1231" s="4">
        <v>201000105</v>
      </c>
      <c r="D1231" s="4" t="s">
        <v>993</v>
      </c>
      <c r="E1231" s="4" t="str">
        <f>"001642010"</f>
        <v>001642010</v>
      </c>
      <c r="F1231" s="10">
        <v>40094</v>
      </c>
      <c r="G1231" s="11">
        <v>75000</v>
      </c>
      <c r="H1231" s="11">
        <v>75000</v>
      </c>
      <c r="I1231" s="4" t="s">
        <v>23</v>
      </c>
      <c r="J1231" s="4" t="s">
        <v>24</v>
      </c>
      <c r="K1231" s="11">
        <v>0</v>
      </c>
      <c r="L1231" s="4"/>
      <c r="M1231" s="4"/>
      <c r="N1231" s="11">
        <v>0</v>
      </c>
      <c r="O1231" s="4"/>
      <c r="P1231" s="4"/>
      <c r="Q1231" s="11">
        <v>0</v>
      </c>
      <c r="R1231" s="4"/>
      <c r="S1231" s="12"/>
    </row>
    <row r="1232" spans="1:19" x14ac:dyDescent="0.25">
      <c r="A1232" s="9" t="s">
        <v>990</v>
      </c>
      <c r="B1232" s="9" t="s">
        <v>291</v>
      </c>
      <c r="C1232" s="4">
        <v>201000110</v>
      </c>
      <c r="D1232" s="4" t="s">
        <v>2534</v>
      </c>
      <c r="E1232" s="4" t="str">
        <f>"002162010"</f>
        <v>002162010</v>
      </c>
      <c r="F1232" s="10">
        <v>40095</v>
      </c>
      <c r="G1232" s="11">
        <v>2409.0100000000002</v>
      </c>
      <c r="H1232" s="11">
        <v>0</v>
      </c>
      <c r="I1232" s="4"/>
      <c r="J1232" s="4"/>
      <c r="K1232" s="11">
        <v>2340.75</v>
      </c>
      <c r="L1232" s="4" t="s">
        <v>994</v>
      </c>
      <c r="M1232" s="4" t="s">
        <v>995</v>
      </c>
      <c r="N1232" s="11">
        <v>68.260000000000005</v>
      </c>
      <c r="O1232" s="4" t="s">
        <v>994</v>
      </c>
      <c r="P1232" s="4" t="s">
        <v>995</v>
      </c>
      <c r="Q1232" s="11">
        <v>0</v>
      </c>
      <c r="R1232" s="4"/>
      <c r="S1232" s="12"/>
    </row>
    <row r="1233" spans="1:19" x14ac:dyDescent="0.25">
      <c r="A1233" s="9" t="s">
        <v>990</v>
      </c>
      <c r="B1233" s="9" t="s">
        <v>291</v>
      </c>
      <c r="C1233" s="4">
        <v>201000395</v>
      </c>
      <c r="D1233" s="4" t="s">
        <v>996</v>
      </c>
      <c r="E1233" s="4" t="str">
        <f>"007872010"</f>
        <v>007872010</v>
      </c>
      <c r="F1233" s="10">
        <v>40116</v>
      </c>
      <c r="G1233" s="11">
        <v>125000</v>
      </c>
      <c r="H1233" s="11">
        <v>125000</v>
      </c>
      <c r="I1233" s="4" t="s">
        <v>30</v>
      </c>
      <c r="J1233" s="4" t="s">
        <v>31</v>
      </c>
      <c r="K1233" s="11">
        <v>0</v>
      </c>
      <c r="L1233" s="4"/>
      <c r="M1233" s="4"/>
      <c r="N1233" s="11">
        <v>0</v>
      </c>
      <c r="O1233" s="4"/>
      <c r="P1233" s="4"/>
      <c r="Q1233" s="11">
        <v>0</v>
      </c>
      <c r="R1233" s="4"/>
      <c r="S1233" s="12"/>
    </row>
    <row r="1234" spans="1:19" x14ac:dyDescent="0.25">
      <c r="A1234" s="9" t="s">
        <v>990</v>
      </c>
      <c r="B1234" s="9" t="s">
        <v>291</v>
      </c>
      <c r="C1234" s="4">
        <v>201000409</v>
      </c>
      <c r="D1234" s="4" t="s">
        <v>250</v>
      </c>
      <c r="E1234" s="4" t="str">
        <f>"011612010"</f>
        <v>011612010</v>
      </c>
      <c r="F1234" s="10">
        <v>40133</v>
      </c>
      <c r="G1234" s="11">
        <v>17489.810000000001</v>
      </c>
      <c r="H1234" s="11">
        <v>17489.810000000001</v>
      </c>
      <c r="I1234" s="4" t="s">
        <v>472</v>
      </c>
      <c r="J1234" s="4" t="s">
        <v>473</v>
      </c>
      <c r="K1234" s="11">
        <v>0</v>
      </c>
      <c r="L1234" s="4"/>
      <c r="M1234" s="4"/>
      <c r="N1234" s="11">
        <v>0</v>
      </c>
      <c r="O1234" s="4"/>
      <c r="P1234" s="4"/>
      <c r="Q1234" s="11">
        <v>0</v>
      </c>
      <c r="R1234" s="4"/>
      <c r="S1234" s="12"/>
    </row>
    <row r="1235" spans="1:19" x14ac:dyDescent="0.25">
      <c r="A1235" s="9" t="s">
        <v>990</v>
      </c>
      <c r="B1235" s="9" t="s">
        <v>291</v>
      </c>
      <c r="C1235" s="4">
        <v>201000547</v>
      </c>
      <c r="D1235" s="4" t="s">
        <v>997</v>
      </c>
      <c r="E1235" s="4" t="str">
        <f>"010472010"</f>
        <v>010472010</v>
      </c>
      <c r="F1235" s="10">
        <v>40126</v>
      </c>
      <c r="G1235" s="11">
        <v>14250</v>
      </c>
      <c r="H1235" s="11">
        <v>14250</v>
      </c>
      <c r="I1235" s="4" t="s">
        <v>23</v>
      </c>
      <c r="J1235" s="4" t="s">
        <v>24</v>
      </c>
      <c r="K1235" s="11">
        <v>0</v>
      </c>
      <c r="L1235" s="4"/>
      <c r="M1235" s="4"/>
      <c r="N1235" s="11">
        <v>0</v>
      </c>
      <c r="O1235" s="4"/>
      <c r="P1235" s="4"/>
      <c r="Q1235" s="11">
        <v>0</v>
      </c>
      <c r="R1235" s="4"/>
      <c r="S1235" s="12"/>
    </row>
    <row r="1236" spans="1:19" x14ac:dyDescent="0.25">
      <c r="A1236" s="9" t="s">
        <v>990</v>
      </c>
      <c r="B1236" s="9" t="s">
        <v>291</v>
      </c>
      <c r="C1236" s="4">
        <v>201000609</v>
      </c>
      <c r="D1236" s="4" t="s">
        <v>998</v>
      </c>
      <c r="E1236" s="4" t="str">
        <f>"011272010"</f>
        <v>011272010</v>
      </c>
      <c r="F1236" s="10">
        <v>40129</v>
      </c>
      <c r="G1236" s="11">
        <v>10000</v>
      </c>
      <c r="H1236" s="11">
        <v>10000</v>
      </c>
      <c r="I1236" s="4" t="s">
        <v>30</v>
      </c>
      <c r="J1236" s="4" t="s">
        <v>31</v>
      </c>
      <c r="K1236" s="11">
        <v>0</v>
      </c>
      <c r="L1236" s="4"/>
      <c r="M1236" s="4"/>
      <c r="N1236" s="11">
        <v>0</v>
      </c>
      <c r="O1236" s="4"/>
      <c r="P1236" s="4"/>
      <c r="Q1236" s="11">
        <v>0</v>
      </c>
      <c r="R1236" s="4"/>
      <c r="S1236" s="12"/>
    </row>
    <row r="1237" spans="1:19" x14ac:dyDescent="0.25">
      <c r="A1237" s="9" t="s">
        <v>990</v>
      </c>
      <c r="B1237" s="9" t="s">
        <v>291</v>
      </c>
      <c r="C1237" s="4">
        <v>201000841</v>
      </c>
      <c r="D1237" s="4" t="s">
        <v>999</v>
      </c>
      <c r="E1237" s="4" t="str">
        <f>"016332010"</f>
        <v>016332010</v>
      </c>
      <c r="F1237" s="10">
        <v>40149</v>
      </c>
      <c r="G1237" s="11">
        <v>2565.5</v>
      </c>
      <c r="H1237" s="11">
        <v>2565.5</v>
      </c>
      <c r="I1237" s="4" t="s">
        <v>1000</v>
      </c>
      <c r="J1237" s="4" t="s">
        <v>1001</v>
      </c>
      <c r="K1237" s="11">
        <v>0</v>
      </c>
      <c r="L1237" s="4"/>
      <c r="M1237" s="4"/>
      <c r="N1237" s="11">
        <v>0</v>
      </c>
      <c r="O1237" s="4"/>
      <c r="P1237" s="4"/>
      <c r="Q1237" s="11">
        <v>0</v>
      </c>
      <c r="R1237" s="4"/>
      <c r="S1237" s="12"/>
    </row>
    <row r="1238" spans="1:19" x14ac:dyDescent="0.25">
      <c r="A1238" s="9" t="s">
        <v>990</v>
      </c>
      <c r="B1238" s="9" t="s">
        <v>291</v>
      </c>
      <c r="C1238" s="4">
        <v>201000951</v>
      </c>
      <c r="D1238" s="4"/>
      <c r="E1238" s="4" t="str">
        <f>"018452010"</f>
        <v>018452010</v>
      </c>
      <c r="F1238" s="10">
        <v>40154</v>
      </c>
      <c r="G1238" s="11">
        <v>27031.03</v>
      </c>
      <c r="H1238" s="11">
        <v>27031.03</v>
      </c>
      <c r="I1238" s="4" t="s">
        <v>251</v>
      </c>
      <c r="J1238" s="4" t="s">
        <v>252</v>
      </c>
      <c r="K1238" s="11">
        <v>0</v>
      </c>
      <c r="L1238" s="4"/>
      <c r="M1238" s="4"/>
      <c r="N1238" s="11">
        <v>0</v>
      </c>
      <c r="O1238" s="4"/>
      <c r="P1238" s="4"/>
      <c r="Q1238" s="11">
        <v>0</v>
      </c>
      <c r="R1238" s="4"/>
      <c r="S1238" s="12"/>
    </row>
    <row r="1239" spans="1:19" x14ac:dyDescent="0.25">
      <c r="A1239" s="9" t="s">
        <v>990</v>
      </c>
      <c r="B1239" s="9" t="s">
        <v>291</v>
      </c>
      <c r="C1239" s="4">
        <v>201000951</v>
      </c>
      <c r="D1239" s="4"/>
      <c r="E1239" s="4" t="str">
        <f>"018472010"</f>
        <v>018472010</v>
      </c>
      <c r="F1239" s="10">
        <v>40154</v>
      </c>
      <c r="G1239" s="11">
        <v>2332.0700000000002</v>
      </c>
      <c r="H1239" s="11">
        <v>2332.0700000000002</v>
      </c>
      <c r="I1239" s="4" t="s">
        <v>251</v>
      </c>
      <c r="J1239" s="4" t="s">
        <v>252</v>
      </c>
      <c r="K1239" s="11">
        <v>0</v>
      </c>
      <c r="L1239" s="4"/>
      <c r="M1239" s="4"/>
      <c r="N1239" s="11">
        <v>0</v>
      </c>
      <c r="O1239" s="4"/>
      <c r="P1239" s="4"/>
      <c r="Q1239" s="11">
        <v>0</v>
      </c>
      <c r="R1239" s="4"/>
      <c r="S1239" s="12"/>
    </row>
    <row r="1240" spans="1:19" x14ac:dyDescent="0.25">
      <c r="A1240" s="9" t="s">
        <v>990</v>
      </c>
      <c r="B1240" s="9" t="s">
        <v>990</v>
      </c>
      <c r="C1240" s="4">
        <v>201001420</v>
      </c>
      <c r="D1240" s="4"/>
      <c r="E1240" s="4" t="str">
        <f>"030772010"</f>
        <v>030772010</v>
      </c>
      <c r="F1240" s="10">
        <v>40193</v>
      </c>
      <c r="G1240" s="11">
        <v>65.900000000000006</v>
      </c>
      <c r="H1240" s="11">
        <v>0</v>
      </c>
      <c r="I1240" s="4"/>
      <c r="J1240" s="4"/>
      <c r="K1240" s="11">
        <v>0</v>
      </c>
      <c r="L1240" s="4"/>
      <c r="M1240" s="4"/>
      <c r="N1240" s="11">
        <v>65.900000000000006</v>
      </c>
      <c r="O1240" s="4" t="s">
        <v>1002</v>
      </c>
      <c r="P1240" s="4" t="s">
        <v>1003</v>
      </c>
      <c r="Q1240" s="11">
        <v>0</v>
      </c>
      <c r="R1240" s="4"/>
      <c r="S1240" s="12"/>
    </row>
    <row r="1241" spans="1:19" x14ac:dyDescent="0.25">
      <c r="A1241" s="9" t="s">
        <v>990</v>
      </c>
      <c r="B1241" s="9" t="s">
        <v>990</v>
      </c>
      <c r="C1241" s="4">
        <v>201001653</v>
      </c>
      <c r="D1241" s="4"/>
      <c r="E1241" s="4" t="str">
        <f>"031882010"</f>
        <v>031882010</v>
      </c>
      <c r="F1241" s="10">
        <v>40199</v>
      </c>
      <c r="G1241" s="11">
        <v>60</v>
      </c>
      <c r="H1241" s="11">
        <v>0</v>
      </c>
      <c r="I1241" s="4"/>
      <c r="J1241" s="4"/>
      <c r="K1241" s="11">
        <v>0</v>
      </c>
      <c r="L1241" s="4"/>
      <c r="M1241" s="4"/>
      <c r="N1241" s="11">
        <v>60</v>
      </c>
      <c r="O1241" s="4" t="s">
        <v>994</v>
      </c>
      <c r="P1241" s="4" t="s">
        <v>995</v>
      </c>
      <c r="Q1241" s="11">
        <v>0</v>
      </c>
      <c r="R1241" s="4"/>
      <c r="S1241" s="12"/>
    </row>
    <row r="1242" spans="1:19" x14ac:dyDescent="0.25">
      <c r="A1242" s="9" t="s">
        <v>990</v>
      </c>
      <c r="B1242" s="9" t="s">
        <v>291</v>
      </c>
      <c r="C1242" s="4">
        <v>201001840</v>
      </c>
      <c r="D1242" s="4" t="s">
        <v>1004</v>
      </c>
      <c r="E1242" s="4" t="str">
        <f>"035362010"</f>
        <v>035362010</v>
      </c>
      <c r="F1242" s="10">
        <v>40213</v>
      </c>
      <c r="G1242" s="11">
        <v>85000</v>
      </c>
      <c r="H1242" s="11">
        <v>0</v>
      </c>
      <c r="I1242" s="4"/>
      <c r="J1242" s="4"/>
      <c r="K1242" s="11">
        <v>85000</v>
      </c>
      <c r="L1242" s="4" t="s">
        <v>994</v>
      </c>
      <c r="M1242" s="4" t="s">
        <v>995</v>
      </c>
      <c r="N1242" s="11">
        <v>0</v>
      </c>
      <c r="O1242" s="4"/>
      <c r="P1242" s="4"/>
      <c r="Q1242" s="11">
        <v>0</v>
      </c>
      <c r="R1242" s="4"/>
      <c r="S1242" s="12"/>
    </row>
    <row r="1243" spans="1:19" x14ac:dyDescent="0.25">
      <c r="A1243" s="9" t="s">
        <v>990</v>
      </c>
      <c r="B1243" s="9" t="s">
        <v>990</v>
      </c>
      <c r="C1243" s="4">
        <v>201001931</v>
      </c>
      <c r="D1243" s="4" t="s">
        <v>2534</v>
      </c>
      <c r="E1243" s="4" t="str">
        <f>"037472010"</f>
        <v>037472010</v>
      </c>
      <c r="F1243" s="10">
        <v>40214</v>
      </c>
      <c r="G1243" s="11">
        <v>335</v>
      </c>
      <c r="H1243" s="11">
        <v>0</v>
      </c>
      <c r="I1243" s="4"/>
      <c r="J1243" s="4"/>
      <c r="K1243" s="11">
        <v>275</v>
      </c>
      <c r="L1243" s="4" t="s">
        <v>994</v>
      </c>
      <c r="M1243" s="4" t="s">
        <v>995</v>
      </c>
      <c r="N1243" s="11">
        <v>60</v>
      </c>
      <c r="O1243" s="4" t="s">
        <v>994</v>
      </c>
      <c r="P1243" s="4" t="s">
        <v>995</v>
      </c>
      <c r="Q1243" s="11">
        <v>0</v>
      </c>
      <c r="R1243" s="4"/>
      <c r="S1243" s="12"/>
    </row>
    <row r="1244" spans="1:19" x14ac:dyDescent="0.25">
      <c r="A1244" s="9" t="s">
        <v>990</v>
      </c>
      <c r="B1244" s="9" t="s">
        <v>291</v>
      </c>
      <c r="C1244" s="4">
        <v>201001989</v>
      </c>
      <c r="D1244" s="4" t="s">
        <v>1005</v>
      </c>
      <c r="E1244" s="4" t="str">
        <f>"038762010"</f>
        <v>038762010</v>
      </c>
      <c r="F1244" s="10">
        <v>40228</v>
      </c>
      <c r="G1244" s="11">
        <v>12500</v>
      </c>
      <c r="H1244" s="11">
        <v>12500</v>
      </c>
      <c r="I1244" s="4" t="s">
        <v>30</v>
      </c>
      <c r="J1244" s="4" t="s">
        <v>31</v>
      </c>
      <c r="K1244" s="11">
        <v>0</v>
      </c>
      <c r="L1244" s="4"/>
      <c r="M1244" s="4"/>
      <c r="N1244" s="11">
        <v>0</v>
      </c>
      <c r="O1244" s="4"/>
      <c r="P1244" s="4"/>
      <c r="Q1244" s="11">
        <v>0</v>
      </c>
      <c r="R1244" s="4"/>
      <c r="S1244" s="12"/>
    </row>
    <row r="1245" spans="1:19" x14ac:dyDescent="0.25">
      <c r="A1245" s="9" t="s">
        <v>990</v>
      </c>
      <c r="B1245" s="9" t="s">
        <v>291</v>
      </c>
      <c r="C1245" s="4">
        <v>201002064</v>
      </c>
      <c r="D1245" s="4" t="s">
        <v>2534</v>
      </c>
      <c r="E1245" s="4" t="str">
        <f>"040322010"</f>
        <v>040322010</v>
      </c>
      <c r="F1245" s="10">
        <v>40232</v>
      </c>
      <c r="G1245" s="11">
        <v>33570</v>
      </c>
      <c r="H1245" s="11">
        <v>0</v>
      </c>
      <c r="I1245" s="4"/>
      <c r="J1245" s="4"/>
      <c r="K1245" s="11">
        <v>33570</v>
      </c>
      <c r="L1245" s="4" t="s">
        <v>994</v>
      </c>
      <c r="M1245" s="4" t="s">
        <v>995</v>
      </c>
      <c r="N1245" s="11">
        <v>0</v>
      </c>
      <c r="O1245" s="4"/>
      <c r="P1245" s="4"/>
      <c r="Q1245" s="11">
        <v>0</v>
      </c>
      <c r="R1245" s="4"/>
      <c r="S1245" s="12"/>
    </row>
    <row r="1246" spans="1:19" x14ac:dyDescent="0.25">
      <c r="A1246" s="9" t="s">
        <v>990</v>
      </c>
      <c r="B1246" s="9" t="s">
        <v>291</v>
      </c>
      <c r="C1246" s="4">
        <v>201002206</v>
      </c>
      <c r="D1246" s="4" t="s">
        <v>2534</v>
      </c>
      <c r="E1246" s="4" t="str">
        <f>"043452010"</f>
        <v>043452010</v>
      </c>
      <c r="F1246" s="10">
        <v>40241</v>
      </c>
      <c r="G1246" s="11">
        <v>4500</v>
      </c>
      <c r="H1246" s="11">
        <v>0</v>
      </c>
      <c r="I1246" s="4"/>
      <c r="J1246" s="4"/>
      <c r="K1246" s="11">
        <v>4500</v>
      </c>
      <c r="L1246" s="4" t="s">
        <v>30</v>
      </c>
      <c r="M1246" s="4" t="s">
        <v>31</v>
      </c>
      <c r="N1246" s="11">
        <v>0</v>
      </c>
      <c r="O1246" s="4"/>
      <c r="P1246" s="4"/>
      <c r="Q1246" s="11">
        <v>0</v>
      </c>
      <c r="R1246" s="4"/>
      <c r="S1246" s="12"/>
    </row>
    <row r="1247" spans="1:19" x14ac:dyDescent="0.25">
      <c r="A1247" s="9" t="s">
        <v>990</v>
      </c>
      <c r="B1247" s="9" t="s">
        <v>291</v>
      </c>
      <c r="C1247" s="4">
        <v>201002206</v>
      </c>
      <c r="D1247" s="4" t="s">
        <v>1006</v>
      </c>
      <c r="E1247" s="4" t="str">
        <f>"043432010"</f>
        <v>043432010</v>
      </c>
      <c r="F1247" s="10">
        <v>40241</v>
      </c>
      <c r="G1247" s="11">
        <v>5500</v>
      </c>
      <c r="H1247" s="11">
        <v>5500</v>
      </c>
      <c r="I1247" s="4" t="s">
        <v>30</v>
      </c>
      <c r="J1247" s="4" t="s">
        <v>31</v>
      </c>
      <c r="K1247" s="11">
        <v>0</v>
      </c>
      <c r="L1247" s="4"/>
      <c r="M1247" s="4"/>
      <c r="N1247" s="11">
        <v>0</v>
      </c>
      <c r="O1247" s="4"/>
      <c r="P1247" s="4"/>
      <c r="Q1247" s="11">
        <v>0</v>
      </c>
      <c r="R1247" s="4"/>
      <c r="S1247" s="12"/>
    </row>
    <row r="1248" spans="1:19" x14ac:dyDescent="0.25">
      <c r="A1248" s="9" t="s">
        <v>990</v>
      </c>
      <c r="B1248" s="9" t="s">
        <v>990</v>
      </c>
      <c r="C1248" s="4">
        <v>201002211</v>
      </c>
      <c r="D1248" s="4"/>
      <c r="E1248" s="4" t="str">
        <f>"043592010"</f>
        <v>043592010</v>
      </c>
      <c r="F1248" s="10">
        <v>40241</v>
      </c>
      <c r="G1248" s="11">
        <v>75</v>
      </c>
      <c r="H1248" s="11">
        <v>0</v>
      </c>
      <c r="I1248" s="4"/>
      <c r="J1248" s="4"/>
      <c r="K1248" s="11">
        <v>0</v>
      </c>
      <c r="L1248" s="4"/>
      <c r="M1248" s="4"/>
      <c r="N1248" s="11">
        <v>75</v>
      </c>
      <c r="O1248" s="4" t="s">
        <v>994</v>
      </c>
      <c r="P1248" s="4" t="s">
        <v>995</v>
      </c>
      <c r="Q1248" s="11">
        <v>0</v>
      </c>
      <c r="R1248" s="4"/>
      <c r="S1248" s="12"/>
    </row>
    <row r="1249" spans="1:19" x14ac:dyDescent="0.25">
      <c r="A1249" s="9" t="s">
        <v>990</v>
      </c>
      <c r="B1249" s="9" t="s">
        <v>291</v>
      </c>
      <c r="C1249" s="4">
        <v>201002269</v>
      </c>
      <c r="D1249" s="4" t="s">
        <v>1007</v>
      </c>
      <c r="E1249" s="4" t="str">
        <f>"044482010"</f>
        <v>044482010</v>
      </c>
      <c r="F1249" s="10">
        <v>40245</v>
      </c>
      <c r="G1249" s="11">
        <v>2352.56</v>
      </c>
      <c r="H1249" s="11">
        <v>0</v>
      </c>
      <c r="I1249" s="4"/>
      <c r="J1249" s="4"/>
      <c r="K1249" s="11">
        <v>0</v>
      </c>
      <c r="L1249" s="4"/>
      <c r="M1249" s="4"/>
      <c r="N1249" s="11">
        <v>2352.56</v>
      </c>
      <c r="O1249" s="4" t="s">
        <v>56</v>
      </c>
      <c r="P1249" s="4" t="s">
        <v>57</v>
      </c>
      <c r="Q1249" s="11">
        <v>0</v>
      </c>
      <c r="R1249" s="4"/>
      <c r="S1249" s="12"/>
    </row>
    <row r="1250" spans="1:19" x14ac:dyDescent="0.25">
      <c r="A1250" s="9" t="s">
        <v>990</v>
      </c>
      <c r="B1250" s="9" t="s">
        <v>291</v>
      </c>
      <c r="C1250" s="4">
        <v>201002443</v>
      </c>
      <c r="D1250" s="4" t="s">
        <v>1008</v>
      </c>
      <c r="E1250" s="4" t="str">
        <f>"056232010"</f>
        <v>056232010</v>
      </c>
      <c r="F1250" s="10">
        <v>40275</v>
      </c>
      <c r="G1250" s="11">
        <v>380.2</v>
      </c>
      <c r="H1250" s="11">
        <v>380.2</v>
      </c>
      <c r="I1250" s="4" t="s">
        <v>30</v>
      </c>
      <c r="J1250" s="4" t="s">
        <v>31</v>
      </c>
      <c r="K1250" s="11">
        <v>0</v>
      </c>
      <c r="L1250" s="4"/>
      <c r="M1250" s="4"/>
      <c r="N1250" s="11">
        <v>0</v>
      </c>
      <c r="O1250" s="4"/>
      <c r="P1250" s="4"/>
      <c r="Q1250" s="11">
        <v>0</v>
      </c>
      <c r="R1250" s="4"/>
      <c r="S1250" s="12"/>
    </row>
    <row r="1251" spans="1:19" x14ac:dyDescent="0.25">
      <c r="A1251" s="9" t="s">
        <v>990</v>
      </c>
      <c r="B1251" s="9" t="s">
        <v>990</v>
      </c>
      <c r="C1251" s="4">
        <v>201002587</v>
      </c>
      <c r="D1251" s="4" t="s">
        <v>2534</v>
      </c>
      <c r="E1251" s="4" t="str">
        <f>"051362010"</f>
        <v>051362010</v>
      </c>
      <c r="F1251" s="10">
        <v>40263</v>
      </c>
      <c r="G1251" s="11">
        <v>3482.19</v>
      </c>
      <c r="H1251" s="11">
        <v>0</v>
      </c>
      <c r="I1251" s="4"/>
      <c r="J1251" s="4"/>
      <c r="K1251" s="11">
        <v>3475.06</v>
      </c>
      <c r="L1251" s="4" t="s">
        <v>994</v>
      </c>
      <c r="M1251" s="4" t="s">
        <v>995</v>
      </c>
      <c r="N1251" s="11">
        <v>7.13</v>
      </c>
      <c r="O1251" s="4" t="s">
        <v>994</v>
      </c>
      <c r="P1251" s="4" t="s">
        <v>995</v>
      </c>
      <c r="Q1251" s="11">
        <v>0</v>
      </c>
      <c r="R1251" s="4"/>
      <c r="S1251" s="12"/>
    </row>
    <row r="1252" spans="1:19" x14ac:dyDescent="0.25">
      <c r="A1252" s="9" t="s">
        <v>990</v>
      </c>
      <c r="B1252" s="9" t="s">
        <v>990</v>
      </c>
      <c r="C1252" s="4">
        <v>201002593</v>
      </c>
      <c r="D1252" s="4" t="s">
        <v>1009</v>
      </c>
      <c r="E1252" s="4" t="str">
        <f>"051782010"</f>
        <v>051782010</v>
      </c>
      <c r="F1252" s="10">
        <v>40263</v>
      </c>
      <c r="G1252" s="11">
        <v>60</v>
      </c>
      <c r="H1252" s="11">
        <v>0</v>
      </c>
      <c r="I1252" s="4"/>
      <c r="J1252" s="4"/>
      <c r="K1252" s="11">
        <v>0</v>
      </c>
      <c r="L1252" s="4"/>
      <c r="M1252" s="4"/>
      <c r="N1252" s="11">
        <v>60</v>
      </c>
      <c r="O1252" s="4" t="s">
        <v>994</v>
      </c>
      <c r="P1252" s="4" t="s">
        <v>995</v>
      </c>
      <c r="Q1252" s="11">
        <v>0</v>
      </c>
      <c r="R1252" s="4"/>
      <c r="S1252" s="12"/>
    </row>
    <row r="1253" spans="1:19" x14ac:dyDescent="0.25">
      <c r="A1253" s="9" t="s">
        <v>990</v>
      </c>
      <c r="B1253" s="9" t="s">
        <v>990</v>
      </c>
      <c r="C1253" s="4">
        <v>201002595</v>
      </c>
      <c r="D1253" s="4" t="s">
        <v>2534</v>
      </c>
      <c r="E1253" s="4" t="str">
        <f>"051442010"</f>
        <v>051442010</v>
      </c>
      <c r="F1253" s="10">
        <v>40263</v>
      </c>
      <c r="G1253" s="11">
        <v>1392.5</v>
      </c>
      <c r="H1253" s="11">
        <v>0</v>
      </c>
      <c r="I1253" s="4"/>
      <c r="J1253" s="4"/>
      <c r="K1253" s="11">
        <v>1332.5</v>
      </c>
      <c r="L1253" s="4" t="s">
        <v>994</v>
      </c>
      <c r="M1253" s="4" t="s">
        <v>995</v>
      </c>
      <c r="N1253" s="11">
        <v>60</v>
      </c>
      <c r="O1253" s="4" t="s">
        <v>994</v>
      </c>
      <c r="P1253" s="4" t="s">
        <v>995</v>
      </c>
      <c r="Q1253" s="11">
        <v>0</v>
      </c>
      <c r="R1253" s="4"/>
      <c r="S1253" s="12"/>
    </row>
    <row r="1254" spans="1:19" x14ac:dyDescent="0.25">
      <c r="A1254" s="9" t="s">
        <v>990</v>
      </c>
      <c r="B1254" s="9" t="s">
        <v>990</v>
      </c>
      <c r="C1254" s="4">
        <v>201002711</v>
      </c>
      <c r="D1254" s="4" t="s">
        <v>1010</v>
      </c>
      <c r="E1254" s="4" t="str">
        <f>"053142010"</f>
        <v>053142010</v>
      </c>
      <c r="F1254" s="10">
        <v>40273</v>
      </c>
      <c r="G1254" s="11">
        <v>1392.5</v>
      </c>
      <c r="H1254" s="11">
        <v>0</v>
      </c>
      <c r="I1254" s="4"/>
      <c r="J1254" s="4"/>
      <c r="K1254" s="11">
        <v>1332.5</v>
      </c>
      <c r="L1254" s="4" t="s">
        <v>994</v>
      </c>
      <c r="M1254" s="4" t="s">
        <v>995</v>
      </c>
      <c r="N1254" s="11">
        <v>60</v>
      </c>
      <c r="O1254" s="4" t="s">
        <v>994</v>
      </c>
      <c r="P1254" s="4" t="s">
        <v>995</v>
      </c>
      <c r="Q1254" s="11">
        <v>0</v>
      </c>
      <c r="R1254" s="4"/>
      <c r="S1254" s="12"/>
    </row>
    <row r="1255" spans="1:19" x14ac:dyDescent="0.25">
      <c r="A1255" s="9" t="s">
        <v>990</v>
      </c>
      <c r="B1255" s="9" t="s">
        <v>990</v>
      </c>
      <c r="C1255" s="4">
        <v>201002833</v>
      </c>
      <c r="D1255" s="4" t="s">
        <v>1010</v>
      </c>
      <c r="E1255" s="4" t="str">
        <f>"056132010"</f>
        <v>056132010</v>
      </c>
      <c r="F1255" s="10">
        <v>40275</v>
      </c>
      <c r="G1255" s="11">
        <v>2017.03</v>
      </c>
      <c r="H1255" s="11">
        <v>0</v>
      </c>
      <c r="I1255" s="4"/>
      <c r="J1255" s="4"/>
      <c r="K1255" s="11">
        <v>1957.03</v>
      </c>
      <c r="L1255" s="4" t="s">
        <v>994</v>
      </c>
      <c r="M1255" s="4" t="s">
        <v>995</v>
      </c>
      <c r="N1255" s="11">
        <v>60</v>
      </c>
      <c r="O1255" s="4" t="s">
        <v>994</v>
      </c>
      <c r="P1255" s="4" t="s">
        <v>995</v>
      </c>
      <c r="Q1255" s="11">
        <v>0</v>
      </c>
      <c r="R1255" s="4"/>
      <c r="S1255" s="12"/>
    </row>
    <row r="1256" spans="1:19" x14ac:dyDescent="0.25">
      <c r="A1256" s="9" t="s">
        <v>990</v>
      </c>
      <c r="B1256" s="9" t="s">
        <v>990</v>
      </c>
      <c r="C1256" s="4">
        <v>201003243</v>
      </c>
      <c r="D1256" s="4"/>
      <c r="E1256" s="4" t="str">
        <f>"064652010"</f>
        <v>064652010</v>
      </c>
      <c r="F1256" s="10">
        <v>40302</v>
      </c>
      <c r="G1256" s="11">
        <v>60</v>
      </c>
      <c r="H1256" s="11">
        <v>0</v>
      </c>
      <c r="I1256" s="4"/>
      <c r="J1256" s="4"/>
      <c r="K1256" s="11">
        <v>0</v>
      </c>
      <c r="L1256" s="4"/>
      <c r="M1256" s="4"/>
      <c r="N1256" s="11">
        <v>60</v>
      </c>
      <c r="O1256" s="4" t="s">
        <v>994</v>
      </c>
      <c r="P1256" s="4" t="s">
        <v>995</v>
      </c>
      <c r="Q1256" s="11">
        <v>0</v>
      </c>
      <c r="R1256" s="4"/>
      <c r="S1256" s="12"/>
    </row>
    <row r="1257" spans="1:19" x14ac:dyDescent="0.25">
      <c r="A1257" s="9" t="s">
        <v>990</v>
      </c>
      <c r="B1257" s="9" t="s">
        <v>291</v>
      </c>
      <c r="C1257" s="4">
        <v>201003442</v>
      </c>
      <c r="D1257" s="4" t="s">
        <v>2534</v>
      </c>
      <c r="E1257" s="4" t="str">
        <f>"068422010"</f>
        <v>068422010</v>
      </c>
      <c r="F1257" s="10">
        <v>40316</v>
      </c>
      <c r="G1257" s="11">
        <v>40311</v>
      </c>
      <c r="H1257" s="11">
        <v>0</v>
      </c>
      <c r="I1257" s="4"/>
      <c r="J1257" s="4"/>
      <c r="K1257" s="11">
        <v>40311</v>
      </c>
      <c r="L1257" s="4" t="s">
        <v>994</v>
      </c>
      <c r="M1257" s="4" t="s">
        <v>995</v>
      </c>
      <c r="N1257" s="11">
        <v>0</v>
      </c>
      <c r="O1257" s="4"/>
      <c r="P1257" s="4"/>
      <c r="Q1257" s="11">
        <v>0</v>
      </c>
      <c r="R1257" s="4"/>
      <c r="S1257" s="12"/>
    </row>
    <row r="1258" spans="1:19" x14ac:dyDescent="0.25">
      <c r="A1258" s="9" t="s">
        <v>990</v>
      </c>
      <c r="B1258" s="9" t="s">
        <v>291</v>
      </c>
      <c r="C1258" s="4">
        <v>201003574</v>
      </c>
      <c r="D1258" s="4" t="s">
        <v>1011</v>
      </c>
      <c r="E1258" s="4" t="str">
        <f>"080922010"</f>
        <v>080922010</v>
      </c>
      <c r="F1258" s="10">
        <v>40346</v>
      </c>
      <c r="G1258" s="11">
        <v>7500</v>
      </c>
      <c r="H1258" s="11">
        <v>7500</v>
      </c>
      <c r="I1258" s="4" t="s">
        <v>104</v>
      </c>
      <c r="J1258" s="4" t="s">
        <v>105</v>
      </c>
      <c r="K1258" s="11">
        <v>0</v>
      </c>
      <c r="L1258" s="4"/>
      <c r="M1258" s="4"/>
      <c r="N1258" s="11">
        <v>0</v>
      </c>
      <c r="O1258" s="4"/>
      <c r="P1258" s="4"/>
      <c r="Q1258" s="11">
        <v>0</v>
      </c>
      <c r="R1258" s="4"/>
      <c r="S1258" s="12"/>
    </row>
    <row r="1259" spans="1:19" x14ac:dyDescent="0.25">
      <c r="A1259" s="9" t="s">
        <v>990</v>
      </c>
      <c r="B1259" s="9" t="s">
        <v>990</v>
      </c>
      <c r="C1259" s="4">
        <v>201003609</v>
      </c>
      <c r="D1259" s="4" t="s">
        <v>2534</v>
      </c>
      <c r="E1259" s="4" t="str">
        <f>"071532010"</f>
        <v>071532010</v>
      </c>
      <c r="F1259" s="10">
        <v>40324</v>
      </c>
      <c r="G1259" s="11">
        <v>690</v>
      </c>
      <c r="H1259" s="11">
        <v>0</v>
      </c>
      <c r="I1259" s="4"/>
      <c r="J1259" s="4"/>
      <c r="K1259" s="11">
        <v>630</v>
      </c>
      <c r="L1259" s="4" t="s">
        <v>994</v>
      </c>
      <c r="M1259" s="4" t="s">
        <v>995</v>
      </c>
      <c r="N1259" s="11">
        <v>60</v>
      </c>
      <c r="O1259" s="4" t="s">
        <v>994</v>
      </c>
      <c r="P1259" s="4" t="s">
        <v>995</v>
      </c>
      <c r="Q1259" s="11">
        <v>0</v>
      </c>
      <c r="R1259" s="4"/>
      <c r="S1259" s="12"/>
    </row>
    <row r="1260" spans="1:19" x14ac:dyDescent="0.25">
      <c r="A1260" s="9" t="s">
        <v>990</v>
      </c>
      <c r="B1260" s="9" t="s">
        <v>990</v>
      </c>
      <c r="C1260" s="4">
        <v>201004198</v>
      </c>
      <c r="D1260" s="4" t="s">
        <v>2534</v>
      </c>
      <c r="E1260" s="4" t="str">
        <f>"084002010"</f>
        <v>084002010</v>
      </c>
      <c r="F1260" s="10">
        <v>40358</v>
      </c>
      <c r="G1260" s="11">
        <v>2445</v>
      </c>
      <c r="H1260" s="11">
        <v>0</v>
      </c>
      <c r="I1260" s="4"/>
      <c r="J1260" s="4"/>
      <c r="K1260" s="11">
        <v>2445</v>
      </c>
      <c r="L1260" s="4" t="s">
        <v>994</v>
      </c>
      <c r="M1260" s="4" t="s">
        <v>995</v>
      </c>
      <c r="N1260" s="11">
        <v>0</v>
      </c>
      <c r="O1260" s="4"/>
      <c r="P1260" s="4"/>
      <c r="Q1260" s="11">
        <v>0</v>
      </c>
      <c r="R1260" s="4"/>
      <c r="S1260" s="12"/>
    </row>
    <row r="1261" spans="1:19" x14ac:dyDescent="0.25">
      <c r="A1261" s="9" t="s">
        <v>990</v>
      </c>
      <c r="B1261" s="9" t="s">
        <v>291</v>
      </c>
      <c r="C1261" s="4">
        <v>201004291</v>
      </c>
      <c r="D1261" s="4" t="s">
        <v>1012</v>
      </c>
      <c r="E1261" s="4" t="str">
        <f>"084742010"</f>
        <v>084742010</v>
      </c>
      <c r="F1261" s="10">
        <v>40357</v>
      </c>
      <c r="G1261" s="11">
        <v>80000</v>
      </c>
      <c r="H1261" s="11">
        <v>0</v>
      </c>
      <c r="I1261" s="4"/>
      <c r="J1261" s="4"/>
      <c r="K1261" s="11">
        <v>80000</v>
      </c>
      <c r="L1261" s="4" t="s">
        <v>994</v>
      </c>
      <c r="M1261" s="4" t="s">
        <v>995</v>
      </c>
      <c r="N1261" s="11">
        <v>0</v>
      </c>
      <c r="O1261" s="4"/>
      <c r="P1261" s="4"/>
      <c r="Q1261" s="11">
        <v>0</v>
      </c>
      <c r="R1261" s="4"/>
      <c r="S1261" s="12"/>
    </row>
    <row r="1262" spans="1:19" x14ac:dyDescent="0.25">
      <c r="A1262" s="9" t="s">
        <v>990</v>
      </c>
      <c r="B1262" s="9" t="s">
        <v>291</v>
      </c>
      <c r="C1262" s="4">
        <v>201004306</v>
      </c>
      <c r="D1262" s="4" t="s">
        <v>2534</v>
      </c>
      <c r="E1262" s="4" t="str">
        <f>"088222010"</f>
        <v>088222010</v>
      </c>
      <c r="F1262" s="10">
        <v>40367</v>
      </c>
      <c r="G1262" s="11">
        <v>1000</v>
      </c>
      <c r="H1262" s="11">
        <v>0</v>
      </c>
      <c r="I1262" s="4"/>
      <c r="J1262" s="4"/>
      <c r="K1262" s="11">
        <v>1000</v>
      </c>
      <c r="L1262" s="4" t="s">
        <v>714</v>
      </c>
      <c r="M1262" s="4" t="s">
        <v>715</v>
      </c>
      <c r="N1262" s="11">
        <v>0</v>
      </c>
      <c r="O1262" s="4"/>
      <c r="P1262" s="4"/>
      <c r="Q1262" s="11">
        <v>0</v>
      </c>
      <c r="R1262" s="4"/>
      <c r="S1262" s="12"/>
    </row>
    <row r="1263" spans="1:19" x14ac:dyDescent="0.25">
      <c r="A1263" s="9" t="s">
        <v>990</v>
      </c>
      <c r="B1263" s="9" t="s">
        <v>990</v>
      </c>
      <c r="C1263" s="4">
        <v>201004358</v>
      </c>
      <c r="D1263" s="4" t="s">
        <v>2534</v>
      </c>
      <c r="E1263" s="4" t="str">
        <f>"088642010"</f>
        <v>088642010</v>
      </c>
      <c r="F1263" s="10">
        <v>40367</v>
      </c>
      <c r="G1263" s="11">
        <v>50510.19</v>
      </c>
      <c r="H1263" s="11">
        <v>0</v>
      </c>
      <c r="I1263" s="4"/>
      <c r="J1263" s="4"/>
      <c r="K1263" s="11">
        <v>46875.5</v>
      </c>
      <c r="L1263" s="4" t="s">
        <v>994</v>
      </c>
      <c r="M1263" s="4" t="s">
        <v>995</v>
      </c>
      <c r="N1263" s="11">
        <v>3634.69</v>
      </c>
      <c r="O1263" s="4" t="s">
        <v>994</v>
      </c>
      <c r="P1263" s="4" t="s">
        <v>995</v>
      </c>
      <c r="Q1263" s="11">
        <v>0</v>
      </c>
      <c r="R1263" s="4"/>
      <c r="S1263" s="12"/>
    </row>
    <row r="1264" spans="1:19" x14ac:dyDescent="0.25">
      <c r="A1264" s="9" t="s">
        <v>990</v>
      </c>
      <c r="B1264" s="9" t="s">
        <v>291</v>
      </c>
      <c r="C1264" s="4">
        <v>201004476</v>
      </c>
      <c r="D1264" s="4" t="s">
        <v>1013</v>
      </c>
      <c r="E1264" s="4" t="str">
        <f>"092802010"</f>
        <v>092802010</v>
      </c>
      <c r="F1264" s="10">
        <v>40373</v>
      </c>
      <c r="G1264" s="11">
        <v>10000</v>
      </c>
      <c r="H1264" s="11">
        <v>10000</v>
      </c>
      <c r="I1264" s="4" t="s">
        <v>30</v>
      </c>
      <c r="J1264" s="4" t="s">
        <v>31</v>
      </c>
      <c r="K1264" s="11">
        <v>0</v>
      </c>
      <c r="L1264" s="4"/>
      <c r="M1264" s="4"/>
      <c r="N1264" s="11">
        <v>0</v>
      </c>
      <c r="O1264" s="4"/>
      <c r="P1264" s="4"/>
      <c r="Q1264" s="11">
        <v>0</v>
      </c>
      <c r="R1264" s="4"/>
      <c r="S1264" s="12"/>
    </row>
    <row r="1265" spans="1:19" x14ac:dyDescent="0.25">
      <c r="A1265" s="9" t="s">
        <v>990</v>
      </c>
      <c r="B1265" s="9" t="s">
        <v>564</v>
      </c>
      <c r="C1265" s="4">
        <v>201004487</v>
      </c>
      <c r="D1265" s="4" t="s">
        <v>1014</v>
      </c>
      <c r="E1265" s="4" t="str">
        <f>"090762010"</f>
        <v>090762010</v>
      </c>
      <c r="F1265" s="10">
        <v>40367</v>
      </c>
      <c r="G1265" s="11">
        <v>24530.45</v>
      </c>
      <c r="H1265" s="11">
        <v>0</v>
      </c>
      <c r="I1265" s="4"/>
      <c r="J1265" s="4"/>
      <c r="K1265" s="11">
        <v>24300</v>
      </c>
      <c r="L1265" s="4" t="s">
        <v>994</v>
      </c>
      <c r="M1265" s="4" t="s">
        <v>995</v>
      </c>
      <c r="N1265" s="11">
        <v>230.45</v>
      </c>
      <c r="O1265" s="4" t="s">
        <v>994</v>
      </c>
      <c r="P1265" s="4" t="s">
        <v>995</v>
      </c>
      <c r="Q1265" s="11">
        <v>0</v>
      </c>
      <c r="R1265" s="4"/>
      <c r="S1265" s="12"/>
    </row>
    <row r="1266" spans="1:19" x14ac:dyDescent="0.25">
      <c r="A1266" s="9" t="s">
        <v>990</v>
      </c>
      <c r="B1266" s="9" t="s">
        <v>990</v>
      </c>
      <c r="C1266" s="4">
        <v>201004499</v>
      </c>
      <c r="D1266" s="4"/>
      <c r="E1266" s="4" t="str">
        <f>"091002010"</f>
        <v>091002010</v>
      </c>
      <c r="F1266" s="10">
        <v>40368</v>
      </c>
      <c r="G1266" s="11">
        <v>60</v>
      </c>
      <c r="H1266" s="11">
        <v>0</v>
      </c>
      <c r="I1266" s="4"/>
      <c r="J1266" s="4"/>
      <c r="K1266" s="11">
        <v>0</v>
      </c>
      <c r="L1266" s="4"/>
      <c r="M1266" s="4"/>
      <c r="N1266" s="11">
        <v>60</v>
      </c>
      <c r="O1266" s="4" t="s">
        <v>994</v>
      </c>
      <c r="P1266" s="4" t="s">
        <v>995</v>
      </c>
      <c r="Q1266" s="11">
        <v>0</v>
      </c>
      <c r="R1266" s="4"/>
      <c r="S1266" s="12"/>
    </row>
    <row r="1267" spans="1:19" x14ac:dyDescent="0.25">
      <c r="A1267" s="9" t="s">
        <v>990</v>
      </c>
      <c r="B1267" s="9" t="s">
        <v>990</v>
      </c>
      <c r="C1267" s="4">
        <v>201004511</v>
      </c>
      <c r="D1267" s="4"/>
      <c r="E1267" s="4" t="str">
        <f>"090362010"</f>
        <v>090362010</v>
      </c>
      <c r="F1267" s="10">
        <v>40367</v>
      </c>
      <c r="G1267" s="11">
        <v>1000</v>
      </c>
      <c r="H1267" s="11">
        <v>0</v>
      </c>
      <c r="I1267" s="4"/>
      <c r="J1267" s="4"/>
      <c r="K1267" s="11">
        <v>1000</v>
      </c>
      <c r="L1267" s="4" t="s">
        <v>994</v>
      </c>
      <c r="M1267" s="4" t="s">
        <v>995</v>
      </c>
      <c r="N1267" s="11">
        <v>0</v>
      </c>
      <c r="O1267" s="4"/>
      <c r="P1267" s="4"/>
      <c r="Q1267" s="11">
        <v>0</v>
      </c>
      <c r="R1267" s="4"/>
      <c r="S1267" s="12"/>
    </row>
    <row r="1268" spans="1:19" x14ac:dyDescent="0.25">
      <c r="A1268" s="9" t="s">
        <v>990</v>
      </c>
      <c r="B1268" s="9" t="s">
        <v>990</v>
      </c>
      <c r="C1268" s="4">
        <v>201004620</v>
      </c>
      <c r="D1268" s="4"/>
      <c r="E1268" s="4" t="str">
        <f>"091642010"</f>
        <v>091642010</v>
      </c>
      <c r="F1268" s="10">
        <v>40368</v>
      </c>
      <c r="G1268" s="11">
        <v>60</v>
      </c>
      <c r="H1268" s="11">
        <v>0</v>
      </c>
      <c r="I1268" s="4"/>
      <c r="J1268" s="4"/>
      <c r="K1268" s="11">
        <v>0</v>
      </c>
      <c r="L1268" s="4"/>
      <c r="M1268" s="4"/>
      <c r="N1268" s="11">
        <v>60</v>
      </c>
      <c r="O1268" s="4" t="s">
        <v>994</v>
      </c>
      <c r="P1268" s="4" t="s">
        <v>995</v>
      </c>
      <c r="Q1268" s="11">
        <v>0</v>
      </c>
      <c r="R1268" s="4"/>
      <c r="S1268" s="12"/>
    </row>
    <row r="1269" spans="1:19" x14ac:dyDescent="0.25">
      <c r="A1269" s="9" t="s">
        <v>990</v>
      </c>
      <c r="B1269" s="9" t="s">
        <v>990</v>
      </c>
      <c r="C1269" s="4">
        <v>201004639</v>
      </c>
      <c r="D1269" s="4" t="s">
        <v>2534</v>
      </c>
      <c r="E1269" s="4" t="str">
        <f>"092382010"</f>
        <v>092382010</v>
      </c>
      <c r="F1269" s="10">
        <v>40373</v>
      </c>
      <c r="G1269" s="11">
        <v>3011.14</v>
      </c>
      <c r="H1269" s="11">
        <v>0</v>
      </c>
      <c r="I1269" s="4"/>
      <c r="J1269" s="4"/>
      <c r="K1269" s="11">
        <v>2951.14</v>
      </c>
      <c r="L1269" s="4" t="s">
        <v>994</v>
      </c>
      <c r="M1269" s="4" t="s">
        <v>995</v>
      </c>
      <c r="N1269" s="11">
        <v>60</v>
      </c>
      <c r="O1269" s="4" t="s">
        <v>994</v>
      </c>
      <c r="P1269" s="4" t="s">
        <v>995</v>
      </c>
      <c r="Q1269" s="11">
        <v>0</v>
      </c>
      <c r="R1269" s="4"/>
      <c r="S1269" s="12"/>
    </row>
    <row r="1270" spans="1:19" x14ac:dyDescent="0.25">
      <c r="A1270" s="9" t="s">
        <v>990</v>
      </c>
      <c r="B1270" s="9" t="s">
        <v>291</v>
      </c>
      <c r="C1270" s="4">
        <v>201004788</v>
      </c>
      <c r="D1270" s="4" t="s">
        <v>1015</v>
      </c>
      <c r="E1270" s="4" t="str">
        <f>"095832010"</f>
        <v>095832010</v>
      </c>
      <c r="F1270" s="10">
        <v>40387</v>
      </c>
      <c r="G1270" s="11">
        <v>15000</v>
      </c>
      <c r="H1270" s="11">
        <v>0</v>
      </c>
      <c r="I1270" s="4"/>
      <c r="J1270" s="4"/>
      <c r="K1270" s="11">
        <v>15000</v>
      </c>
      <c r="L1270" s="4" t="s">
        <v>994</v>
      </c>
      <c r="M1270" s="4" t="s">
        <v>995</v>
      </c>
      <c r="N1270" s="11">
        <v>0</v>
      </c>
      <c r="O1270" s="4"/>
      <c r="P1270" s="4"/>
      <c r="Q1270" s="11">
        <v>0</v>
      </c>
      <c r="R1270" s="4"/>
      <c r="S1270" s="12"/>
    </row>
    <row r="1271" spans="1:19" x14ac:dyDescent="0.25">
      <c r="A1271" s="9" t="s">
        <v>990</v>
      </c>
      <c r="B1271" s="9" t="s">
        <v>990</v>
      </c>
      <c r="C1271" s="4">
        <v>201004825</v>
      </c>
      <c r="D1271" s="4" t="s">
        <v>2534</v>
      </c>
      <c r="E1271" s="4" t="str">
        <f>"096952010"</f>
        <v>096952010</v>
      </c>
      <c r="F1271" s="10">
        <v>40394</v>
      </c>
      <c r="G1271" s="11">
        <v>3621.85</v>
      </c>
      <c r="H1271" s="11">
        <v>0</v>
      </c>
      <c r="I1271" s="4"/>
      <c r="J1271" s="4"/>
      <c r="K1271" s="11">
        <v>3546</v>
      </c>
      <c r="L1271" s="4" t="s">
        <v>994</v>
      </c>
      <c r="M1271" s="4" t="s">
        <v>995</v>
      </c>
      <c r="N1271" s="11">
        <v>75.849999999999994</v>
      </c>
      <c r="O1271" s="4" t="s">
        <v>994</v>
      </c>
      <c r="P1271" s="4" t="s">
        <v>995</v>
      </c>
      <c r="Q1271" s="11">
        <v>0</v>
      </c>
      <c r="R1271" s="4"/>
      <c r="S1271" s="12"/>
    </row>
    <row r="1272" spans="1:19" x14ac:dyDescent="0.25">
      <c r="A1272" s="9" t="s">
        <v>990</v>
      </c>
      <c r="B1272" s="9" t="s">
        <v>990</v>
      </c>
      <c r="C1272" s="4">
        <v>201004833</v>
      </c>
      <c r="D1272" s="4"/>
      <c r="E1272" s="4" t="str">
        <f>"101352010"</f>
        <v>101352010</v>
      </c>
      <c r="F1272" s="10">
        <v>40408</v>
      </c>
      <c r="G1272" s="11">
        <v>3885</v>
      </c>
      <c r="H1272" s="11">
        <v>0</v>
      </c>
      <c r="I1272" s="4"/>
      <c r="J1272" s="4"/>
      <c r="K1272" s="11">
        <v>3825</v>
      </c>
      <c r="L1272" s="4" t="s">
        <v>994</v>
      </c>
      <c r="M1272" s="4" t="s">
        <v>995</v>
      </c>
      <c r="N1272" s="11">
        <v>60</v>
      </c>
      <c r="O1272" s="4" t="s">
        <v>994</v>
      </c>
      <c r="P1272" s="4" t="s">
        <v>995</v>
      </c>
      <c r="Q1272" s="11">
        <v>0</v>
      </c>
      <c r="R1272" s="4"/>
      <c r="S1272" s="12"/>
    </row>
    <row r="1273" spans="1:19" x14ac:dyDescent="0.25">
      <c r="A1273" s="9" t="s">
        <v>990</v>
      </c>
      <c r="B1273" s="9" t="s">
        <v>990</v>
      </c>
      <c r="C1273" s="4">
        <v>201005149</v>
      </c>
      <c r="D1273" s="4"/>
      <c r="E1273" s="4" t="str">
        <f>"107992010"</f>
        <v>107992010</v>
      </c>
      <c r="F1273" s="10">
        <v>40424</v>
      </c>
      <c r="G1273" s="11">
        <v>750</v>
      </c>
      <c r="H1273" s="11">
        <v>750</v>
      </c>
      <c r="I1273" s="4" t="s">
        <v>1000</v>
      </c>
      <c r="J1273" s="4" t="s">
        <v>1001</v>
      </c>
      <c r="K1273" s="11">
        <v>0</v>
      </c>
      <c r="L1273" s="4"/>
      <c r="M1273" s="4"/>
      <c r="N1273" s="11">
        <v>0</v>
      </c>
      <c r="O1273" s="4"/>
      <c r="P1273" s="4"/>
      <c r="Q1273" s="11">
        <v>0</v>
      </c>
      <c r="R1273" s="4"/>
      <c r="S1273" s="12"/>
    </row>
    <row r="1274" spans="1:19" x14ac:dyDescent="0.25">
      <c r="A1274" s="9" t="s">
        <v>990</v>
      </c>
      <c r="B1274" s="9" t="s">
        <v>291</v>
      </c>
      <c r="C1274" s="4">
        <v>201005228</v>
      </c>
      <c r="D1274" s="4" t="s">
        <v>1016</v>
      </c>
      <c r="E1274" s="4" t="str">
        <f>"104492010"</f>
        <v>104492010</v>
      </c>
      <c r="F1274" s="10">
        <v>40413</v>
      </c>
      <c r="G1274" s="11">
        <v>472.9</v>
      </c>
      <c r="H1274" s="11">
        <v>0</v>
      </c>
      <c r="I1274" s="4"/>
      <c r="J1274" s="4"/>
      <c r="K1274" s="11">
        <v>0</v>
      </c>
      <c r="L1274" s="4"/>
      <c r="M1274" s="4"/>
      <c r="N1274" s="11">
        <v>472.9</v>
      </c>
      <c r="O1274" s="4" t="s">
        <v>56</v>
      </c>
      <c r="P1274" s="4" t="s">
        <v>57</v>
      </c>
      <c r="Q1274" s="11">
        <v>0</v>
      </c>
      <c r="R1274" s="4"/>
      <c r="S1274" s="12"/>
    </row>
    <row r="1275" spans="1:19" x14ac:dyDescent="0.25">
      <c r="A1275" s="9" t="s">
        <v>990</v>
      </c>
      <c r="B1275" s="9" t="s">
        <v>291</v>
      </c>
      <c r="C1275" s="4">
        <v>201005279</v>
      </c>
      <c r="D1275" s="4" t="s">
        <v>1017</v>
      </c>
      <c r="E1275" s="4" t="str">
        <f>"109212010"</f>
        <v>109212010</v>
      </c>
      <c r="F1275" s="10">
        <v>40429</v>
      </c>
      <c r="G1275" s="11">
        <v>40000</v>
      </c>
      <c r="H1275" s="11">
        <v>40000</v>
      </c>
      <c r="I1275" s="4" t="s">
        <v>30</v>
      </c>
      <c r="J1275" s="4" t="s">
        <v>31</v>
      </c>
      <c r="K1275" s="11">
        <v>0</v>
      </c>
      <c r="L1275" s="4"/>
      <c r="M1275" s="4"/>
      <c r="N1275" s="11">
        <v>0</v>
      </c>
      <c r="O1275" s="4"/>
      <c r="P1275" s="4"/>
      <c r="Q1275" s="11">
        <v>0</v>
      </c>
      <c r="R1275" s="4"/>
      <c r="S1275" s="12"/>
    </row>
    <row r="1276" spans="1:19" x14ac:dyDescent="0.25">
      <c r="A1276" s="9" t="s">
        <v>990</v>
      </c>
      <c r="B1276" s="9" t="s">
        <v>990</v>
      </c>
      <c r="C1276" s="4">
        <v>201005289</v>
      </c>
      <c r="D1276" s="4" t="s">
        <v>1018</v>
      </c>
      <c r="E1276" s="4" t="str">
        <f>"105152010"</f>
        <v>105152010</v>
      </c>
      <c r="F1276" s="10">
        <v>40415</v>
      </c>
      <c r="G1276" s="11">
        <v>60</v>
      </c>
      <c r="H1276" s="11">
        <v>0</v>
      </c>
      <c r="I1276" s="4"/>
      <c r="J1276" s="4"/>
      <c r="K1276" s="11">
        <v>0</v>
      </c>
      <c r="L1276" s="4"/>
      <c r="M1276" s="4"/>
      <c r="N1276" s="11">
        <v>60</v>
      </c>
      <c r="O1276" s="4" t="s">
        <v>994</v>
      </c>
      <c r="P1276" s="4" t="s">
        <v>995</v>
      </c>
      <c r="Q1276" s="11">
        <v>0</v>
      </c>
      <c r="R1276" s="4"/>
      <c r="S1276" s="12"/>
    </row>
    <row r="1277" spans="1:19" x14ac:dyDescent="0.25">
      <c r="A1277" s="9" t="s">
        <v>990</v>
      </c>
      <c r="B1277" s="9" t="s">
        <v>291</v>
      </c>
      <c r="C1277" s="4">
        <v>201005374</v>
      </c>
      <c r="D1277" s="4" t="s">
        <v>1019</v>
      </c>
      <c r="E1277" s="4" t="str">
        <f>"106642010"</f>
        <v>106642010</v>
      </c>
      <c r="F1277" s="10">
        <v>40417</v>
      </c>
      <c r="G1277" s="11">
        <v>659.8</v>
      </c>
      <c r="H1277" s="11">
        <v>0</v>
      </c>
      <c r="I1277" s="4"/>
      <c r="J1277" s="4"/>
      <c r="K1277" s="11">
        <v>0</v>
      </c>
      <c r="L1277" s="4"/>
      <c r="M1277" s="4"/>
      <c r="N1277" s="11">
        <v>659.8</v>
      </c>
      <c r="O1277" s="4" t="s">
        <v>56</v>
      </c>
      <c r="P1277" s="4" t="s">
        <v>57</v>
      </c>
      <c r="Q1277" s="11">
        <v>0</v>
      </c>
      <c r="R1277" s="4"/>
      <c r="S1277" s="12"/>
    </row>
    <row r="1278" spans="1:19" x14ac:dyDescent="0.25">
      <c r="A1278" s="9" t="s">
        <v>990</v>
      </c>
      <c r="B1278" s="9" t="s">
        <v>291</v>
      </c>
      <c r="C1278" s="4">
        <v>201005419</v>
      </c>
      <c r="D1278" s="4" t="s">
        <v>1020</v>
      </c>
      <c r="E1278" s="4" t="str">
        <f>"107592010"</f>
        <v>107592010</v>
      </c>
      <c r="F1278" s="10">
        <v>40423</v>
      </c>
      <c r="G1278" s="11">
        <v>5127.3599999999997</v>
      </c>
      <c r="H1278" s="11">
        <v>0</v>
      </c>
      <c r="I1278" s="4"/>
      <c r="J1278" s="4"/>
      <c r="K1278" s="11">
        <v>0</v>
      </c>
      <c r="L1278" s="4"/>
      <c r="M1278" s="4"/>
      <c r="N1278" s="11">
        <v>5127.3599999999997</v>
      </c>
      <c r="O1278" s="4" t="s">
        <v>56</v>
      </c>
      <c r="P1278" s="4" t="s">
        <v>57</v>
      </c>
      <c r="Q1278" s="11">
        <v>0</v>
      </c>
      <c r="R1278" s="4"/>
      <c r="S1278" s="12"/>
    </row>
    <row r="1279" spans="1:19" x14ac:dyDescent="0.25">
      <c r="A1279" s="9" t="s">
        <v>990</v>
      </c>
      <c r="B1279" s="9" t="s">
        <v>990</v>
      </c>
      <c r="C1279" s="4">
        <v>201005423</v>
      </c>
      <c r="D1279" s="4" t="s">
        <v>2534</v>
      </c>
      <c r="E1279" s="4" t="str">
        <f>"108192010"</f>
        <v>108192010</v>
      </c>
      <c r="F1279" s="10">
        <v>40424</v>
      </c>
      <c r="G1279" s="11">
        <v>3777.2</v>
      </c>
      <c r="H1279" s="11">
        <v>0</v>
      </c>
      <c r="I1279" s="4"/>
      <c r="J1279" s="4"/>
      <c r="K1279" s="11">
        <v>3517.2</v>
      </c>
      <c r="L1279" s="4" t="s">
        <v>1022</v>
      </c>
      <c r="M1279" s="4" t="s">
        <v>1023</v>
      </c>
      <c r="N1279" s="11">
        <v>260</v>
      </c>
      <c r="O1279" s="4" t="s">
        <v>1022</v>
      </c>
      <c r="P1279" s="4" t="s">
        <v>1023</v>
      </c>
      <c r="Q1279" s="11">
        <v>0</v>
      </c>
      <c r="R1279" s="4"/>
      <c r="S1279" s="12"/>
    </row>
    <row r="1280" spans="1:19" x14ac:dyDescent="0.25">
      <c r="A1280" s="9" t="s">
        <v>990</v>
      </c>
      <c r="B1280" s="9" t="s">
        <v>990</v>
      </c>
      <c r="C1280" s="4">
        <v>201005423</v>
      </c>
      <c r="D1280" s="4" t="s">
        <v>1021</v>
      </c>
      <c r="E1280" s="4" t="str">
        <f>"108212010"</f>
        <v>108212010</v>
      </c>
      <c r="F1280" s="10">
        <v>40424</v>
      </c>
      <c r="G1280" s="11">
        <v>2000</v>
      </c>
      <c r="H1280" s="11">
        <v>2000</v>
      </c>
      <c r="I1280" s="4" t="s">
        <v>1022</v>
      </c>
      <c r="J1280" s="4" t="s">
        <v>1023</v>
      </c>
      <c r="K1280" s="11">
        <v>0</v>
      </c>
      <c r="L1280" s="4"/>
      <c r="M1280" s="4"/>
      <c r="N1280" s="11">
        <v>0</v>
      </c>
      <c r="O1280" s="4"/>
      <c r="P1280" s="4"/>
      <c r="Q1280" s="11">
        <v>0</v>
      </c>
      <c r="R1280" s="4"/>
      <c r="S1280" s="12"/>
    </row>
    <row r="1281" spans="1:19" x14ac:dyDescent="0.25">
      <c r="A1281" s="9" t="s">
        <v>990</v>
      </c>
      <c r="B1281" s="9" t="s">
        <v>291</v>
      </c>
      <c r="C1281" s="4">
        <v>201005495</v>
      </c>
      <c r="D1281" s="4" t="s">
        <v>2534</v>
      </c>
      <c r="E1281" s="4" t="str">
        <f>"109552010"</f>
        <v>109552010</v>
      </c>
      <c r="F1281" s="10">
        <v>40430</v>
      </c>
      <c r="G1281" s="11">
        <v>65806.28</v>
      </c>
      <c r="H1281" s="11">
        <v>0</v>
      </c>
      <c r="I1281" s="4"/>
      <c r="J1281" s="4"/>
      <c r="K1281" s="11">
        <v>52540</v>
      </c>
      <c r="L1281" s="4" t="s">
        <v>994</v>
      </c>
      <c r="M1281" s="4" t="s">
        <v>995</v>
      </c>
      <c r="N1281" s="11">
        <v>13266.28</v>
      </c>
      <c r="O1281" s="4" t="s">
        <v>56</v>
      </c>
      <c r="P1281" s="4" t="s">
        <v>57</v>
      </c>
      <c r="Q1281" s="11">
        <v>0</v>
      </c>
      <c r="R1281" s="4"/>
      <c r="S1281" s="12"/>
    </row>
    <row r="1282" spans="1:19" x14ac:dyDescent="0.25">
      <c r="A1282" s="9" t="s">
        <v>990</v>
      </c>
      <c r="B1282" s="9" t="s">
        <v>990</v>
      </c>
      <c r="C1282" s="4">
        <v>201005499</v>
      </c>
      <c r="D1282" s="4" t="s">
        <v>2534</v>
      </c>
      <c r="E1282" s="4" t="str">
        <f>"109232010"</f>
        <v>109232010</v>
      </c>
      <c r="F1282" s="10">
        <v>40430</v>
      </c>
      <c r="G1282" s="11">
        <v>2200</v>
      </c>
      <c r="H1282" s="11">
        <v>0</v>
      </c>
      <c r="I1282" s="4"/>
      <c r="J1282" s="4"/>
      <c r="K1282" s="11">
        <v>2140</v>
      </c>
      <c r="L1282" s="4" t="s">
        <v>994</v>
      </c>
      <c r="M1282" s="4" t="s">
        <v>995</v>
      </c>
      <c r="N1282" s="11">
        <v>60</v>
      </c>
      <c r="O1282" s="4" t="s">
        <v>994</v>
      </c>
      <c r="P1282" s="4" t="s">
        <v>995</v>
      </c>
      <c r="Q1282" s="11">
        <v>0</v>
      </c>
      <c r="R1282" s="4"/>
      <c r="S1282" s="12"/>
    </row>
    <row r="1283" spans="1:19" x14ac:dyDescent="0.25">
      <c r="A1283" s="9" t="s">
        <v>1024</v>
      </c>
      <c r="B1283" s="9" t="s">
        <v>291</v>
      </c>
      <c r="C1283" s="4">
        <v>201000276</v>
      </c>
      <c r="D1283" s="4"/>
      <c r="E1283" s="4" t="str">
        <f>"005472010"</f>
        <v>005472010</v>
      </c>
      <c r="F1283" s="10">
        <v>40108</v>
      </c>
      <c r="G1283" s="11">
        <v>125000</v>
      </c>
      <c r="H1283" s="11">
        <v>125000</v>
      </c>
      <c r="I1283" s="4" t="s">
        <v>905</v>
      </c>
      <c r="J1283" s="4" t="s">
        <v>906</v>
      </c>
      <c r="K1283" s="11">
        <v>0</v>
      </c>
      <c r="L1283" s="4"/>
      <c r="M1283" s="4"/>
      <c r="N1283" s="11">
        <v>0</v>
      </c>
      <c r="O1283" s="4"/>
      <c r="P1283" s="4"/>
      <c r="Q1283" s="11">
        <v>0</v>
      </c>
      <c r="R1283" s="4"/>
      <c r="S1283" s="12"/>
    </row>
    <row r="1284" spans="1:19" x14ac:dyDescent="0.25">
      <c r="A1284" s="9" t="s">
        <v>1024</v>
      </c>
      <c r="B1284" s="9" t="s">
        <v>291</v>
      </c>
      <c r="C1284" s="4">
        <v>201001850</v>
      </c>
      <c r="D1284" s="4" t="s">
        <v>1025</v>
      </c>
      <c r="E1284" s="4" t="str">
        <f>"040462010"</f>
        <v>040462010</v>
      </c>
      <c r="F1284" s="10">
        <v>40233</v>
      </c>
      <c r="G1284" s="11">
        <v>428682</v>
      </c>
      <c r="H1284" s="11">
        <v>428682</v>
      </c>
      <c r="I1284" s="4" t="s">
        <v>30</v>
      </c>
      <c r="J1284" s="4" t="s">
        <v>31</v>
      </c>
      <c r="K1284" s="11">
        <v>0</v>
      </c>
      <c r="L1284" s="4"/>
      <c r="M1284" s="4"/>
      <c r="N1284" s="11">
        <v>0</v>
      </c>
      <c r="O1284" s="4"/>
      <c r="P1284" s="4"/>
      <c r="Q1284" s="11">
        <v>0</v>
      </c>
      <c r="R1284" s="4"/>
      <c r="S1284" s="12"/>
    </row>
    <row r="1285" spans="1:19" x14ac:dyDescent="0.25">
      <c r="A1285" s="9" t="s">
        <v>1024</v>
      </c>
      <c r="B1285" s="9" t="s">
        <v>291</v>
      </c>
      <c r="C1285" s="4">
        <v>201001851</v>
      </c>
      <c r="D1285" s="4" t="s">
        <v>1026</v>
      </c>
      <c r="E1285" s="4" t="str">
        <f>"039542010"</f>
        <v>039542010</v>
      </c>
      <c r="F1285" s="10">
        <v>40232</v>
      </c>
      <c r="G1285" s="11">
        <v>725000</v>
      </c>
      <c r="H1285" s="11">
        <v>0</v>
      </c>
      <c r="I1285" s="4"/>
      <c r="J1285" s="4"/>
      <c r="K1285" s="11">
        <v>725000</v>
      </c>
      <c r="L1285" s="4" t="s">
        <v>279</v>
      </c>
      <c r="M1285" s="4" t="s">
        <v>280</v>
      </c>
      <c r="N1285" s="11">
        <v>0</v>
      </c>
      <c r="O1285" s="4"/>
      <c r="P1285" s="4"/>
      <c r="Q1285" s="11">
        <v>0</v>
      </c>
      <c r="R1285" s="4"/>
      <c r="S1285" s="12"/>
    </row>
    <row r="1286" spans="1:19" x14ac:dyDescent="0.25">
      <c r="A1286" s="9" t="s">
        <v>1024</v>
      </c>
      <c r="B1286" s="9" t="s">
        <v>291</v>
      </c>
      <c r="C1286" s="4">
        <v>201002260</v>
      </c>
      <c r="D1286" s="4"/>
      <c r="E1286" s="4" t="str">
        <f>"045682010"</f>
        <v>045682010</v>
      </c>
      <c r="F1286" s="10">
        <v>40248</v>
      </c>
      <c r="G1286" s="11">
        <v>75000</v>
      </c>
      <c r="H1286" s="11">
        <v>75000</v>
      </c>
      <c r="I1286" s="4" t="s">
        <v>30</v>
      </c>
      <c r="J1286" s="4" t="s">
        <v>31</v>
      </c>
      <c r="K1286" s="11">
        <v>0</v>
      </c>
      <c r="L1286" s="4"/>
      <c r="M1286" s="4"/>
      <c r="N1286" s="11">
        <v>0</v>
      </c>
      <c r="O1286" s="4"/>
      <c r="P1286" s="4"/>
      <c r="Q1286" s="11">
        <v>0</v>
      </c>
      <c r="R1286" s="4"/>
      <c r="S1286" s="12"/>
    </row>
    <row r="1287" spans="1:19" x14ac:dyDescent="0.25">
      <c r="A1287" s="9" t="s">
        <v>1024</v>
      </c>
      <c r="B1287" s="9" t="s">
        <v>291</v>
      </c>
      <c r="C1287" s="4">
        <v>201002260</v>
      </c>
      <c r="D1287" s="4"/>
      <c r="E1287" s="4" t="str">
        <f>"045702010"</f>
        <v>045702010</v>
      </c>
      <c r="F1287" s="10">
        <v>40248</v>
      </c>
      <c r="G1287" s="11">
        <v>75000</v>
      </c>
      <c r="H1287" s="11">
        <v>75000</v>
      </c>
      <c r="I1287" s="4" t="s">
        <v>30</v>
      </c>
      <c r="J1287" s="4" t="s">
        <v>31</v>
      </c>
      <c r="K1287" s="11">
        <v>0</v>
      </c>
      <c r="L1287" s="4"/>
      <c r="M1287" s="4"/>
      <c r="N1287" s="11">
        <v>0</v>
      </c>
      <c r="O1287" s="4"/>
      <c r="P1287" s="4"/>
      <c r="Q1287" s="11">
        <v>0</v>
      </c>
      <c r="R1287" s="4"/>
      <c r="S1287" s="12"/>
    </row>
    <row r="1288" spans="1:19" x14ac:dyDescent="0.25">
      <c r="A1288" s="9" t="s">
        <v>1024</v>
      </c>
      <c r="B1288" s="9" t="s">
        <v>291</v>
      </c>
      <c r="C1288" s="4">
        <v>201004577</v>
      </c>
      <c r="D1288" s="4" t="s">
        <v>1025</v>
      </c>
      <c r="E1288" s="4" t="str">
        <f>"092142010"</f>
        <v>092142010</v>
      </c>
      <c r="F1288" s="10">
        <v>40373</v>
      </c>
      <c r="G1288" s="11">
        <v>60586.080000000002</v>
      </c>
      <c r="H1288" s="11">
        <v>60586.080000000002</v>
      </c>
      <c r="I1288" s="4" t="s">
        <v>30</v>
      </c>
      <c r="J1288" s="4" t="s">
        <v>31</v>
      </c>
      <c r="K1288" s="11">
        <v>0</v>
      </c>
      <c r="L1288" s="4"/>
      <c r="M1288" s="4"/>
      <c r="N1288" s="11">
        <v>0</v>
      </c>
      <c r="O1288" s="4"/>
      <c r="P1288" s="4"/>
      <c r="Q1288" s="11">
        <v>0</v>
      </c>
      <c r="R1288" s="4"/>
      <c r="S1288" s="12"/>
    </row>
    <row r="1289" spans="1:19" x14ac:dyDescent="0.25">
      <c r="A1289" s="9" t="s">
        <v>1024</v>
      </c>
      <c r="B1289" s="9" t="s">
        <v>291</v>
      </c>
      <c r="C1289" s="4">
        <v>201005314</v>
      </c>
      <c r="D1289" s="4" t="s">
        <v>1025</v>
      </c>
      <c r="E1289" s="4" t="str">
        <f>"107652010"</f>
        <v>107652010</v>
      </c>
      <c r="F1289" s="10">
        <v>40423</v>
      </c>
      <c r="G1289" s="11">
        <v>250000</v>
      </c>
      <c r="H1289" s="11">
        <v>250000</v>
      </c>
      <c r="I1289" s="4" t="s">
        <v>30</v>
      </c>
      <c r="J1289" s="4" t="s">
        <v>31</v>
      </c>
      <c r="K1289" s="11">
        <v>0</v>
      </c>
      <c r="L1289" s="4"/>
      <c r="M1289" s="4"/>
      <c r="N1289" s="11">
        <v>0</v>
      </c>
      <c r="O1289" s="4"/>
      <c r="P1289" s="4"/>
      <c r="Q1289" s="11">
        <v>0</v>
      </c>
      <c r="R1289" s="4"/>
      <c r="S1289" s="12"/>
    </row>
    <row r="1290" spans="1:19" x14ac:dyDescent="0.25">
      <c r="A1290" s="9" t="s">
        <v>1024</v>
      </c>
      <c r="B1290" s="9" t="s">
        <v>291</v>
      </c>
      <c r="C1290" s="4">
        <v>201005469</v>
      </c>
      <c r="D1290" s="4"/>
      <c r="E1290" s="4" t="str">
        <f>"110832010"</f>
        <v>110832010</v>
      </c>
      <c r="F1290" s="10">
        <v>40435</v>
      </c>
      <c r="G1290" s="11">
        <v>27500</v>
      </c>
      <c r="H1290" s="11">
        <v>27500</v>
      </c>
      <c r="I1290" s="4" t="s">
        <v>30</v>
      </c>
      <c r="J1290" s="4" t="s">
        <v>31</v>
      </c>
      <c r="K1290" s="11">
        <v>0</v>
      </c>
      <c r="L1290" s="4"/>
      <c r="M1290" s="4"/>
      <c r="N1290" s="11">
        <v>0</v>
      </c>
      <c r="O1290" s="4"/>
      <c r="P1290" s="4"/>
      <c r="Q1290" s="11">
        <v>0</v>
      </c>
      <c r="R1290" s="4"/>
      <c r="S1290" s="12"/>
    </row>
    <row r="1291" spans="1:19" x14ac:dyDescent="0.25">
      <c r="A1291" s="9" t="s">
        <v>1027</v>
      </c>
      <c r="B1291" s="9" t="s">
        <v>291</v>
      </c>
      <c r="C1291" s="4">
        <v>201000406</v>
      </c>
      <c r="D1291" s="4"/>
      <c r="E1291" s="4" t="str">
        <f>"010652010"</f>
        <v>010652010</v>
      </c>
      <c r="F1291" s="10">
        <v>40127</v>
      </c>
      <c r="G1291" s="11">
        <v>24000</v>
      </c>
      <c r="H1291" s="11">
        <v>24000</v>
      </c>
      <c r="I1291" s="4" t="s">
        <v>23</v>
      </c>
      <c r="J1291" s="4" t="s">
        <v>24</v>
      </c>
      <c r="K1291" s="11">
        <v>0</v>
      </c>
      <c r="L1291" s="4"/>
      <c r="M1291" s="4"/>
      <c r="N1291" s="11">
        <v>0</v>
      </c>
      <c r="O1291" s="4"/>
      <c r="P1291" s="4"/>
      <c r="Q1291" s="11">
        <v>0</v>
      </c>
      <c r="R1291" s="4"/>
      <c r="S1291" s="12"/>
    </row>
    <row r="1292" spans="1:19" x14ac:dyDescent="0.25">
      <c r="A1292" s="9" t="s">
        <v>1027</v>
      </c>
      <c r="B1292" s="9" t="s">
        <v>291</v>
      </c>
      <c r="C1292" s="4">
        <v>201001568</v>
      </c>
      <c r="D1292" s="4" t="s">
        <v>1028</v>
      </c>
      <c r="E1292" s="4" t="str">
        <f>"033362010"</f>
        <v>033362010</v>
      </c>
      <c r="F1292" s="10">
        <v>40203</v>
      </c>
      <c r="G1292" s="11">
        <v>2460893.21</v>
      </c>
      <c r="H1292" s="11">
        <v>2444100</v>
      </c>
      <c r="I1292" s="4" t="s">
        <v>23</v>
      </c>
      <c r="J1292" s="4" t="s">
        <v>24</v>
      </c>
      <c r="K1292" s="11">
        <v>0</v>
      </c>
      <c r="L1292" s="4"/>
      <c r="M1292" s="4"/>
      <c r="N1292" s="11">
        <v>16793.21</v>
      </c>
      <c r="O1292" s="4" t="s">
        <v>23</v>
      </c>
      <c r="P1292" s="4" t="s">
        <v>24</v>
      </c>
      <c r="Q1292" s="11">
        <v>0</v>
      </c>
      <c r="R1292" s="4"/>
      <c r="S1292" s="12"/>
    </row>
    <row r="1293" spans="1:19" x14ac:dyDescent="0.25">
      <c r="A1293" s="9" t="s">
        <v>1027</v>
      </c>
      <c r="B1293" s="9" t="s">
        <v>291</v>
      </c>
      <c r="C1293" s="4">
        <v>201002488</v>
      </c>
      <c r="D1293" s="4" t="s">
        <v>1029</v>
      </c>
      <c r="E1293" s="4" t="str">
        <f>"059572010"</f>
        <v>059572010</v>
      </c>
      <c r="F1293" s="10">
        <v>40287</v>
      </c>
      <c r="G1293" s="11">
        <v>2108696.34</v>
      </c>
      <c r="H1293" s="11">
        <v>2101891</v>
      </c>
      <c r="I1293" s="4" t="s">
        <v>23</v>
      </c>
      <c r="J1293" s="4" t="s">
        <v>24</v>
      </c>
      <c r="K1293" s="11">
        <v>0</v>
      </c>
      <c r="L1293" s="4"/>
      <c r="M1293" s="4"/>
      <c r="N1293" s="11">
        <v>6805.34</v>
      </c>
      <c r="O1293" s="4" t="s">
        <v>56</v>
      </c>
      <c r="P1293" s="4" t="s">
        <v>57</v>
      </c>
      <c r="Q1293" s="11">
        <v>0</v>
      </c>
      <c r="R1293" s="4"/>
      <c r="S1293" s="12"/>
    </row>
    <row r="1294" spans="1:19" x14ac:dyDescent="0.25">
      <c r="A1294" s="9" t="s">
        <v>1030</v>
      </c>
      <c r="B1294" s="9" t="s">
        <v>291</v>
      </c>
      <c r="C1294" s="4">
        <v>201001337</v>
      </c>
      <c r="D1294" s="4" t="s">
        <v>1031</v>
      </c>
      <c r="E1294" s="4" t="str">
        <f>"028462010"</f>
        <v>028462010</v>
      </c>
      <c r="F1294" s="10">
        <v>40186</v>
      </c>
      <c r="G1294" s="11">
        <v>1290290</v>
      </c>
      <c r="H1294" s="11">
        <v>1290290</v>
      </c>
      <c r="I1294" s="4" t="s">
        <v>1032</v>
      </c>
      <c r="J1294" s="4" t="s">
        <v>1033</v>
      </c>
      <c r="K1294" s="11">
        <v>0</v>
      </c>
      <c r="L1294" s="4"/>
      <c r="M1294" s="4"/>
      <c r="N1294" s="11">
        <v>0</v>
      </c>
      <c r="O1294" s="4"/>
      <c r="P1294" s="4"/>
      <c r="Q1294" s="11">
        <v>0</v>
      </c>
      <c r="R1294" s="4"/>
      <c r="S1294" s="12"/>
    </row>
    <row r="1295" spans="1:19" x14ac:dyDescent="0.25">
      <c r="A1295" s="9" t="s">
        <v>1030</v>
      </c>
      <c r="B1295" s="9" t="s">
        <v>291</v>
      </c>
      <c r="C1295" s="4">
        <v>201003610</v>
      </c>
      <c r="D1295" s="4" t="s">
        <v>1034</v>
      </c>
      <c r="E1295" s="4" t="str">
        <f>"076062010"</f>
        <v>076062010</v>
      </c>
      <c r="F1295" s="10">
        <v>40333</v>
      </c>
      <c r="G1295" s="11">
        <v>25000</v>
      </c>
      <c r="H1295" s="11">
        <v>25000</v>
      </c>
      <c r="I1295" s="4" t="s">
        <v>369</v>
      </c>
      <c r="J1295" s="4" t="s">
        <v>370</v>
      </c>
      <c r="K1295" s="11">
        <v>0</v>
      </c>
      <c r="L1295" s="4"/>
      <c r="M1295" s="4"/>
      <c r="N1295" s="11">
        <v>0</v>
      </c>
      <c r="O1295" s="4"/>
      <c r="P1295" s="4"/>
      <c r="Q1295" s="11">
        <v>0</v>
      </c>
      <c r="R1295" s="4"/>
      <c r="S1295" s="12"/>
    </row>
    <row r="1296" spans="1:19" x14ac:dyDescent="0.25">
      <c r="A1296" s="9" t="s">
        <v>1030</v>
      </c>
      <c r="B1296" s="9" t="s">
        <v>291</v>
      </c>
      <c r="C1296" s="4">
        <v>201004313</v>
      </c>
      <c r="D1296" s="4"/>
      <c r="E1296" s="4" t="str">
        <f>"086522010"</f>
        <v>086522010</v>
      </c>
      <c r="F1296" s="10">
        <v>40354</v>
      </c>
      <c r="G1296" s="11">
        <v>450000</v>
      </c>
      <c r="H1296" s="11">
        <v>0</v>
      </c>
      <c r="I1296" s="4"/>
      <c r="J1296" s="4"/>
      <c r="K1296" s="11">
        <v>450000</v>
      </c>
      <c r="L1296" s="4" t="s">
        <v>803</v>
      </c>
      <c r="M1296" s="4" t="s">
        <v>804</v>
      </c>
      <c r="N1296" s="11">
        <v>0</v>
      </c>
      <c r="O1296" s="4"/>
      <c r="P1296" s="4"/>
      <c r="Q1296" s="11">
        <v>0</v>
      </c>
      <c r="R1296" s="4"/>
      <c r="S1296" s="12"/>
    </row>
    <row r="1297" spans="1:19" x14ac:dyDescent="0.25">
      <c r="A1297" s="9" t="s">
        <v>1030</v>
      </c>
      <c r="B1297" s="9" t="s">
        <v>291</v>
      </c>
      <c r="C1297" s="4">
        <v>201004695</v>
      </c>
      <c r="D1297" s="4" t="s">
        <v>1035</v>
      </c>
      <c r="E1297" s="4" t="str">
        <f>"095662010"</f>
        <v>095662010</v>
      </c>
      <c r="F1297" s="10">
        <v>40387</v>
      </c>
      <c r="G1297" s="11">
        <v>250000</v>
      </c>
      <c r="H1297" s="11">
        <v>250000</v>
      </c>
      <c r="I1297" s="4" t="s">
        <v>1036</v>
      </c>
      <c r="J1297" s="4" t="s">
        <v>1037</v>
      </c>
      <c r="K1297" s="11">
        <v>0</v>
      </c>
      <c r="L1297" s="4"/>
      <c r="M1297" s="4"/>
      <c r="N1297" s="11">
        <v>0</v>
      </c>
      <c r="O1297" s="4"/>
      <c r="P1297" s="4"/>
      <c r="Q1297" s="11">
        <v>0</v>
      </c>
      <c r="R1297" s="4"/>
      <c r="S1297" s="12"/>
    </row>
    <row r="1298" spans="1:19" x14ac:dyDescent="0.25">
      <c r="A1298" s="9" t="s">
        <v>1030</v>
      </c>
      <c r="B1298" s="9" t="s">
        <v>291</v>
      </c>
      <c r="C1298" s="4">
        <v>201004997</v>
      </c>
      <c r="D1298" s="4"/>
      <c r="E1298" s="4" t="str">
        <f>"099732010"</f>
        <v>099732010</v>
      </c>
      <c r="F1298" s="10">
        <v>40401</v>
      </c>
      <c r="G1298" s="11">
        <v>121095.25</v>
      </c>
      <c r="H1298" s="11">
        <v>0</v>
      </c>
      <c r="I1298" s="4"/>
      <c r="J1298" s="4"/>
      <c r="K1298" s="11">
        <v>121095.25</v>
      </c>
      <c r="L1298" s="4" t="s">
        <v>803</v>
      </c>
      <c r="M1298" s="4" t="s">
        <v>804</v>
      </c>
      <c r="N1298" s="11">
        <v>0</v>
      </c>
      <c r="O1298" s="4"/>
      <c r="P1298" s="4"/>
      <c r="Q1298" s="11">
        <v>0</v>
      </c>
      <c r="R1298" s="4"/>
      <c r="S1298" s="12"/>
    </row>
    <row r="1299" spans="1:19" x14ac:dyDescent="0.25">
      <c r="A1299" s="9" t="s">
        <v>1030</v>
      </c>
      <c r="B1299" s="9" t="s">
        <v>291</v>
      </c>
      <c r="C1299" s="4">
        <v>201005000</v>
      </c>
      <c r="D1299" s="4"/>
      <c r="E1299" s="4" t="str">
        <f>"099672010"</f>
        <v>099672010</v>
      </c>
      <c r="F1299" s="10">
        <v>40401</v>
      </c>
      <c r="G1299" s="11">
        <v>68214.789999999994</v>
      </c>
      <c r="H1299" s="11">
        <v>0</v>
      </c>
      <c r="I1299" s="4"/>
      <c r="J1299" s="4"/>
      <c r="K1299" s="11">
        <v>68214.789999999994</v>
      </c>
      <c r="L1299" s="4" t="s">
        <v>803</v>
      </c>
      <c r="M1299" s="4" t="s">
        <v>804</v>
      </c>
      <c r="N1299" s="11">
        <v>0</v>
      </c>
      <c r="O1299" s="4"/>
      <c r="P1299" s="4"/>
      <c r="Q1299" s="11">
        <v>0</v>
      </c>
      <c r="R1299" s="4"/>
      <c r="S1299" s="12"/>
    </row>
    <row r="1300" spans="1:19" x14ac:dyDescent="0.25">
      <c r="A1300" s="9" t="s">
        <v>1030</v>
      </c>
      <c r="B1300" s="9" t="s">
        <v>291</v>
      </c>
      <c r="C1300" s="4">
        <v>201005003</v>
      </c>
      <c r="D1300" s="4"/>
      <c r="E1300" s="4" t="str">
        <f>"099692010"</f>
        <v>099692010</v>
      </c>
      <c r="F1300" s="10">
        <v>40401</v>
      </c>
      <c r="G1300" s="11">
        <v>783360.5</v>
      </c>
      <c r="H1300" s="11">
        <v>0</v>
      </c>
      <c r="I1300" s="4"/>
      <c r="J1300" s="4"/>
      <c r="K1300" s="11">
        <v>783360.5</v>
      </c>
      <c r="L1300" s="4" t="s">
        <v>803</v>
      </c>
      <c r="M1300" s="4" t="s">
        <v>804</v>
      </c>
      <c r="N1300" s="11">
        <v>0</v>
      </c>
      <c r="O1300" s="4"/>
      <c r="P1300" s="4"/>
      <c r="Q1300" s="11">
        <v>0</v>
      </c>
      <c r="R1300" s="4"/>
      <c r="S1300" s="12"/>
    </row>
    <row r="1301" spans="1:19" x14ac:dyDescent="0.25">
      <c r="A1301" s="9" t="s">
        <v>1030</v>
      </c>
      <c r="B1301" s="9" t="s">
        <v>291</v>
      </c>
      <c r="C1301" s="4">
        <v>201005004</v>
      </c>
      <c r="D1301" s="4"/>
      <c r="E1301" s="4" t="str">
        <f>"099712010"</f>
        <v>099712010</v>
      </c>
      <c r="F1301" s="10">
        <v>40401</v>
      </c>
      <c r="G1301" s="11">
        <v>2329.46</v>
      </c>
      <c r="H1301" s="11">
        <v>0</v>
      </c>
      <c r="I1301" s="4"/>
      <c r="J1301" s="4"/>
      <c r="K1301" s="11">
        <v>2329.46</v>
      </c>
      <c r="L1301" s="4" t="s">
        <v>803</v>
      </c>
      <c r="M1301" s="4" t="s">
        <v>804</v>
      </c>
      <c r="N1301" s="11">
        <v>0</v>
      </c>
      <c r="O1301" s="4"/>
      <c r="P1301" s="4"/>
      <c r="Q1301" s="11">
        <v>0</v>
      </c>
      <c r="R1301" s="4"/>
      <c r="S1301" s="12"/>
    </row>
    <row r="1302" spans="1:19" x14ac:dyDescent="0.25">
      <c r="A1302" s="9" t="s">
        <v>1038</v>
      </c>
      <c r="B1302" s="9" t="s">
        <v>291</v>
      </c>
      <c r="C1302" s="4">
        <v>201001347</v>
      </c>
      <c r="D1302" s="4" t="s">
        <v>1039</v>
      </c>
      <c r="E1302" s="4" t="str">
        <f>"027532010"</f>
        <v>027532010</v>
      </c>
      <c r="F1302" s="10">
        <v>40185</v>
      </c>
      <c r="G1302" s="11">
        <v>9604.9599999999991</v>
      </c>
      <c r="H1302" s="11">
        <v>0</v>
      </c>
      <c r="I1302" s="4"/>
      <c r="J1302" s="4"/>
      <c r="K1302" s="11">
        <v>9604.9599999999991</v>
      </c>
      <c r="L1302" s="4" t="s">
        <v>30</v>
      </c>
      <c r="M1302" s="4" t="s">
        <v>31</v>
      </c>
      <c r="N1302" s="11">
        <v>0</v>
      </c>
      <c r="O1302" s="4"/>
      <c r="P1302" s="4"/>
      <c r="Q1302" s="11">
        <v>0</v>
      </c>
      <c r="R1302" s="4"/>
      <c r="S1302" s="12"/>
    </row>
    <row r="1303" spans="1:19" x14ac:dyDescent="0.25">
      <c r="A1303" s="9" t="s">
        <v>1038</v>
      </c>
      <c r="B1303" s="9" t="s">
        <v>291</v>
      </c>
      <c r="C1303" s="4">
        <v>201001347</v>
      </c>
      <c r="D1303" s="4" t="s">
        <v>1039</v>
      </c>
      <c r="E1303" s="4" t="str">
        <f>"027512010"</f>
        <v>027512010</v>
      </c>
      <c r="F1303" s="10">
        <v>40185</v>
      </c>
      <c r="G1303" s="11">
        <v>300699.46000000002</v>
      </c>
      <c r="H1303" s="11">
        <v>300000</v>
      </c>
      <c r="I1303" s="4" t="s">
        <v>30</v>
      </c>
      <c r="J1303" s="4" t="s">
        <v>31</v>
      </c>
      <c r="K1303" s="11">
        <v>0</v>
      </c>
      <c r="L1303" s="4"/>
      <c r="M1303" s="4"/>
      <c r="N1303" s="11">
        <v>0</v>
      </c>
      <c r="O1303" s="4"/>
      <c r="P1303" s="4"/>
      <c r="Q1303" s="11">
        <v>699.46</v>
      </c>
      <c r="R1303" s="4" t="s">
        <v>30</v>
      </c>
      <c r="S1303" s="12" t="s">
        <v>31</v>
      </c>
    </row>
    <row r="1304" spans="1:19" x14ac:dyDescent="0.25">
      <c r="A1304" s="9" t="s">
        <v>1038</v>
      </c>
      <c r="B1304" s="9" t="s">
        <v>291</v>
      </c>
      <c r="C1304" s="4">
        <v>201001739</v>
      </c>
      <c r="D1304" s="4" t="s">
        <v>1040</v>
      </c>
      <c r="E1304" s="4" t="str">
        <f>"033662010"</f>
        <v>033662010</v>
      </c>
      <c r="F1304" s="10">
        <v>40205</v>
      </c>
      <c r="G1304" s="11">
        <v>2000</v>
      </c>
      <c r="H1304" s="11">
        <v>2000</v>
      </c>
      <c r="I1304" s="4" t="s">
        <v>30</v>
      </c>
      <c r="J1304" s="4" t="s">
        <v>31</v>
      </c>
      <c r="K1304" s="11">
        <v>0</v>
      </c>
      <c r="L1304" s="4"/>
      <c r="M1304" s="4"/>
      <c r="N1304" s="11">
        <v>0</v>
      </c>
      <c r="O1304" s="4"/>
      <c r="P1304" s="4"/>
      <c r="Q1304" s="11">
        <v>0</v>
      </c>
      <c r="R1304" s="4"/>
      <c r="S1304" s="12"/>
    </row>
    <row r="1305" spans="1:19" x14ac:dyDescent="0.25">
      <c r="A1305" s="9" t="s">
        <v>1038</v>
      </c>
      <c r="B1305" s="9" t="s">
        <v>291</v>
      </c>
      <c r="C1305" s="4">
        <v>201001825</v>
      </c>
      <c r="D1305" s="4" t="s">
        <v>1041</v>
      </c>
      <c r="E1305" s="4" t="str">
        <f>"048712010"</f>
        <v>048712010</v>
      </c>
      <c r="F1305" s="10">
        <v>40259</v>
      </c>
      <c r="G1305" s="11">
        <v>45000</v>
      </c>
      <c r="H1305" s="11">
        <v>45000</v>
      </c>
      <c r="I1305" s="4" t="s">
        <v>179</v>
      </c>
      <c r="J1305" s="4" t="s">
        <v>180</v>
      </c>
      <c r="K1305" s="11">
        <v>0</v>
      </c>
      <c r="L1305" s="4"/>
      <c r="M1305" s="4"/>
      <c r="N1305" s="11">
        <v>0</v>
      </c>
      <c r="O1305" s="4"/>
      <c r="P1305" s="4"/>
      <c r="Q1305" s="11">
        <v>0</v>
      </c>
      <c r="R1305" s="4"/>
      <c r="S1305" s="12"/>
    </row>
    <row r="1306" spans="1:19" x14ac:dyDescent="0.25">
      <c r="A1306" s="9" t="s">
        <v>1038</v>
      </c>
      <c r="B1306" s="9" t="s">
        <v>291</v>
      </c>
      <c r="C1306" s="4">
        <v>201001884</v>
      </c>
      <c r="D1306" s="4" t="s">
        <v>2534</v>
      </c>
      <c r="E1306" s="4" t="str">
        <f>"037602010"</f>
        <v>037602010</v>
      </c>
      <c r="F1306" s="10">
        <v>40214</v>
      </c>
      <c r="G1306" s="11">
        <v>15537.94</v>
      </c>
      <c r="H1306" s="11">
        <v>0</v>
      </c>
      <c r="I1306" s="4"/>
      <c r="J1306" s="4"/>
      <c r="K1306" s="11">
        <v>15242.69</v>
      </c>
      <c r="L1306" s="4" t="s">
        <v>167</v>
      </c>
      <c r="M1306" s="4" t="s">
        <v>168</v>
      </c>
      <c r="N1306" s="11">
        <v>295.25</v>
      </c>
      <c r="O1306" s="4" t="s">
        <v>167</v>
      </c>
      <c r="P1306" s="4" t="s">
        <v>168</v>
      </c>
      <c r="Q1306" s="11">
        <v>0</v>
      </c>
      <c r="R1306" s="4"/>
      <c r="S1306" s="12"/>
    </row>
    <row r="1307" spans="1:19" x14ac:dyDescent="0.25">
      <c r="A1307" s="9" t="s">
        <v>1038</v>
      </c>
      <c r="B1307" s="9" t="s">
        <v>291</v>
      </c>
      <c r="C1307" s="4">
        <v>201002232</v>
      </c>
      <c r="D1307" s="4" t="s">
        <v>1042</v>
      </c>
      <c r="E1307" s="4" t="str">
        <f>"045282010"</f>
        <v>045282010</v>
      </c>
      <c r="F1307" s="10">
        <v>40246</v>
      </c>
      <c r="G1307" s="11">
        <v>85000</v>
      </c>
      <c r="H1307" s="11">
        <v>85000</v>
      </c>
      <c r="I1307" s="4" t="s">
        <v>23</v>
      </c>
      <c r="J1307" s="4" t="s">
        <v>24</v>
      </c>
      <c r="K1307" s="11">
        <v>0</v>
      </c>
      <c r="L1307" s="4"/>
      <c r="M1307" s="4"/>
      <c r="N1307" s="11">
        <v>0</v>
      </c>
      <c r="O1307" s="4"/>
      <c r="P1307" s="4"/>
      <c r="Q1307" s="11">
        <v>0</v>
      </c>
      <c r="R1307" s="4"/>
      <c r="S1307" s="12"/>
    </row>
    <row r="1308" spans="1:19" x14ac:dyDescent="0.25">
      <c r="A1308" s="9" t="s">
        <v>1038</v>
      </c>
      <c r="B1308" s="9" t="s">
        <v>291</v>
      </c>
      <c r="C1308" s="4">
        <v>201002565</v>
      </c>
      <c r="D1308" s="4" t="s">
        <v>1043</v>
      </c>
      <c r="E1308" s="4" t="str">
        <f>"066142010"</f>
        <v>066142010</v>
      </c>
      <c r="F1308" s="10">
        <v>40305</v>
      </c>
      <c r="G1308" s="11">
        <v>9388.75</v>
      </c>
      <c r="H1308" s="11">
        <v>0</v>
      </c>
      <c r="I1308" s="4"/>
      <c r="J1308" s="4"/>
      <c r="K1308" s="11">
        <v>0</v>
      </c>
      <c r="L1308" s="4"/>
      <c r="M1308" s="4"/>
      <c r="N1308" s="11">
        <v>0</v>
      </c>
      <c r="O1308" s="4"/>
      <c r="P1308" s="4"/>
      <c r="Q1308" s="11">
        <v>9388.75</v>
      </c>
      <c r="R1308" s="4" t="s">
        <v>30</v>
      </c>
      <c r="S1308" s="12" t="s">
        <v>31</v>
      </c>
    </row>
    <row r="1309" spans="1:19" x14ac:dyDescent="0.25">
      <c r="A1309" s="9" t="s">
        <v>1038</v>
      </c>
      <c r="B1309" s="9" t="s">
        <v>291</v>
      </c>
      <c r="C1309" s="4">
        <v>201003548</v>
      </c>
      <c r="D1309" s="4"/>
      <c r="E1309" s="4" t="str">
        <f>"070732010"</f>
        <v>070732010</v>
      </c>
      <c r="F1309" s="10">
        <v>40316</v>
      </c>
      <c r="G1309" s="11">
        <v>50000</v>
      </c>
      <c r="H1309" s="11">
        <v>50000</v>
      </c>
      <c r="I1309" s="4" t="s">
        <v>23</v>
      </c>
      <c r="J1309" s="4" t="s">
        <v>24</v>
      </c>
      <c r="K1309" s="11">
        <v>0</v>
      </c>
      <c r="L1309" s="4"/>
      <c r="M1309" s="4"/>
      <c r="N1309" s="11">
        <v>0</v>
      </c>
      <c r="O1309" s="4"/>
      <c r="P1309" s="4"/>
      <c r="Q1309" s="11">
        <v>0</v>
      </c>
      <c r="R1309" s="4"/>
      <c r="S1309" s="12"/>
    </row>
    <row r="1310" spans="1:19" x14ac:dyDescent="0.25">
      <c r="A1310" s="9" t="s">
        <v>1038</v>
      </c>
      <c r="B1310" s="9" t="s">
        <v>291</v>
      </c>
      <c r="C1310" s="4">
        <v>201003592</v>
      </c>
      <c r="D1310" s="4" t="s">
        <v>1044</v>
      </c>
      <c r="E1310" s="4" t="str">
        <f>"071412010"</f>
        <v>071412010</v>
      </c>
      <c r="F1310" s="10">
        <v>40324</v>
      </c>
      <c r="G1310" s="11">
        <v>240000</v>
      </c>
      <c r="H1310" s="11">
        <v>0</v>
      </c>
      <c r="I1310" s="4"/>
      <c r="J1310" s="4"/>
      <c r="K1310" s="11">
        <v>240000</v>
      </c>
      <c r="L1310" s="4" t="s">
        <v>30</v>
      </c>
      <c r="M1310" s="4" t="s">
        <v>31</v>
      </c>
      <c r="N1310" s="11">
        <v>0</v>
      </c>
      <c r="O1310" s="4"/>
      <c r="P1310" s="4"/>
      <c r="Q1310" s="11">
        <v>0</v>
      </c>
      <c r="R1310" s="4"/>
      <c r="S1310" s="12"/>
    </row>
    <row r="1311" spans="1:19" x14ac:dyDescent="0.25">
      <c r="A1311" s="9" t="s">
        <v>1038</v>
      </c>
      <c r="B1311" s="9" t="s">
        <v>291</v>
      </c>
      <c r="C1311" s="4">
        <v>201003592</v>
      </c>
      <c r="D1311" s="4" t="s">
        <v>1044</v>
      </c>
      <c r="E1311" s="4" t="str">
        <f>"071392010"</f>
        <v>071392010</v>
      </c>
      <c r="F1311" s="10">
        <v>40324</v>
      </c>
      <c r="G1311" s="11">
        <v>70000</v>
      </c>
      <c r="H1311" s="11">
        <v>70000</v>
      </c>
      <c r="I1311" s="4" t="s">
        <v>30</v>
      </c>
      <c r="J1311" s="4" t="s">
        <v>31</v>
      </c>
      <c r="K1311" s="11">
        <v>0</v>
      </c>
      <c r="L1311" s="4"/>
      <c r="M1311" s="4"/>
      <c r="N1311" s="11">
        <v>0</v>
      </c>
      <c r="O1311" s="4"/>
      <c r="P1311" s="4"/>
      <c r="Q1311" s="11">
        <v>0</v>
      </c>
      <c r="R1311" s="4"/>
      <c r="S1311" s="12"/>
    </row>
    <row r="1312" spans="1:19" x14ac:dyDescent="0.25">
      <c r="A1312" s="9" t="s">
        <v>1038</v>
      </c>
      <c r="B1312" s="9" t="s">
        <v>291</v>
      </c>
      <c r="C1312" s="4">
        <v>201003724</v>
      </c>
      <c r="D1312" s="4" t="s">
        <v>1045</v>
      </c>
      <c r="E1312" s="4" t="str">
        <f>"087282010"</f>
        <v>087282010</v>
      </c>
      <c r="F1312" s="10">
        <v>40358</v>
      </c>
      <c r="G1312" s="11">
        <v>661000</v>
      </c>
      <c r="H1312" s="11">
        <v>661000</v>
      </c>
      <c r="I1312" s="4" t="s">
        <v>38</v>
      </c>
      <c r="J1312" s="4" t="s">
        <v>39</v>
      </c>
      <c r="K1312" s="11">
        <v>0</v>
      </c>
      <c r="L1312" s="4"/>
      <c r="M1312" s="4"/>
      <c r="N1312" s="11">
        <v>0</v>
      </c>
      <c r="O1312" s="4"/>
      <c r="P1312" s="4"/>
      <c r="Q1312" s="11">
        <v>0</v>
      </c>
      <c r="R1312" s="4"/>
      <c r="S1312" s="12"/>
    </row>
    <row r="1313" spans="1:19" x14ac:dyDescent="0.25">
      <c r="A1313" s="9" t="s">
        <v>1038</v>
      </c>
      <c r="B1313" s="9" t="s">
        <v>291</v>
      </c>
      <c r="C1313" s="4">
        <v>201005457</v>
      </c>
      <c r="D1313" s="4" t="s">
        <v>1046</v>
      </c>
      <c r="E1313" s="4" t="str">
        <f>"112402010"</f>
        <v>112402010</v>
      </c>
      <c r="F1313" s="10">
        <v>40443</v>
      </c>
      <c r="G1313" s="11">
        <v>122500</v>
      </c>
      <c r="H1313" s="11">
        <v>122500</v>
      </c>
      <c r="I1313" s="4" t="s">
        <v>38</v>
      </c>
      <c r="J1313" s="4" t="s">
        <v>39</v>
      </c>
      <c r="K1313" s="11">
        <v>0</v>
      </c>
      <c r="L1313" s="4"/>
      <c r="M1313" s="4"/>
      <c r="N1313" s="11">
        <v>0</v>
      </c>
      <c r="O1313" s="4"/>
      <c r="P1313" s="4"/>
      <c r="Q1313" s="11">
        <v>0</v>
      </c>
      <c r="R1313" s="4"/>
      <c r="S1313" s="12"/>
    </row>
    <row r="1314" spans="1:19" x14ac:dyDescent="0.25">
      <c r="A1314" s="9" t="s">
        <v>1038</v>
      </c>
      <c r="B1314" s="9" t="s">
        <v>291</v>
      </c>
      <c r="C1314" s="4">
        <v>201005678</v>
      </c>
      <c r="D1314" s="4" t="s">
        <v>1047</v>
      </c>
      <c r="E1314" s="4" t="str">
        <f>"112982010"</f>
        <v>112982010</v>
      </c>
      <c r="F1314" s="10">
        <v>40445</v>
      </c>
      <c r="G1314" s="11">
        <v>7000</v>
      </c>
      <c r="H1314" s="11">
        <v>7000</v>
      </c>
      <c r="I1314" s="4" t="s">
        <v>23</v>
      </c>
      <c r="J1314" s="4" t="s">
        <v>24</v>
      </c>
      <c r="K1314" s="11">
        <v>0</v>
      </c>
      <c r="L1314" s="4"/>
      <c r="M1314" s="4"/>
      <c r="N1314" s="11">
        <v>0</v>
      </c>
      <c r="O1314" s="4"/>
      <c r="P1314" s="4"/>
      <c r="Q1314" s="11">
        <v>0</v>
      </c>
      <c r="R1314" s="4"/>
      <c r="S1314" s="12"/>
    </row>
    <row r="1315" spans="1:19" x14ac:dyDescent="0.25">
      <c r="A1315" s="9" t="s">
        <v>1048</v>
      </c>
      <c r="B1315" s="9" t="s">
        <v>1048</v>
      </c>
      <c r="C1315" s="4">
        <v>201000160</v>
      </c>
      <c r="D1315" s="4" t="s">
        <v>1049</v>
      </c>
      <c r="E1315" s="4" t="str">
        <f>"002662010"</f>
        <v>002662010</v>
      </c>
      <c r="F1315" s="10">
        <v>40101</v>
      </c>
      <c r="G1315" s="11">
        <v>545.79</v>
      </c>
      <c r="H1315" s="11">
        <v>0</v>
      </c>
      <c r="I1315" s="4"/>
      <c r="J1315" s="4"/>
      <c r="K1315" s="11">
        <v>0</v>
      </c>
      <c r="L1315" s="4"/>
      <c r="M1315" s="4"/>
      <c r="N1315" s="11">
        <v>545.79</v>
      </c>
      <c r="O1315" s="4" t="s">
        <v>56</v>
      </c>
      <c r="P1315" s="4" t="s">
        <v>57</v>
      </c>
      <c r="Q1315" s="11">
        <v>0</v>
      </c>
      <c r="R1315" s="4"/>
      <c r="S1315" s="12"/>
    </row>
    <row r="1316" spans="1:19" x14ac:dyDescent="0.25">
      <c r="A1316" s="9" t="s">
        <v>1050</v>
      </c>
      <c r="B1316" s="9" t="s">
        <v>291</v>
      </c>
      <c r="C1316" s="4">
        <v>201002110</v>
      </c>
      <c r="D1316" s="4" t="s">
        <v>1051</v>
      </c>
      <c r="E1316" s="4" t="str">
        <f>"041022010"</f>
        <v>041022010</v>
      </c>
      <c r="F1316" s="10">
        <v>40234</v>
      </c>
      <c r="G1316" s="11">
        <v>310000</v>
      </c>
      <c r="H1316" s="11">
        <v>310000</v>
      </c>
      <c r="I1316" s="4" t="s">
        <v>23</v>
      </c>
      <c r="J1316" s="4" t="s">
        <v>24</v>
      </c>
      <c r="K1316" s="11">
        <v>0</v>
      </c>
      <c r="L1316" s="4"/>
      <c r="M1316" s="4"/>
      <c r="N1316" s="11">
        <v>0</v>
      </c>
      <c r="O1316" s="4"/>
      <c r="P1316" s="4"/>
      <c r="Q1316" s="11">
        <v>0</v>
      </c>
      <c r="R1316" s="4"/>
      <c r="S1316" s="12"/>
    </row>
    <row r="1317" spans="1:19" x14ac:dyDescent="0.25">
      <c r="A1317" s="9" t="s">
        <v>1052</v>
      </c>
      <c r="B1317" s="9" t="s">
        <v>291</v>
      </c>
      <c r="C1317" s="4">
        <v>201001210</v>
      </c>
      <c r="D1317" s="4"/>
      <c r="E1317" s="4" t="str">
        <f>"024892010"</f>
        <v>024892010</v>
      </c>
      <c r="F1317" s="10">
        <v>40177</v>
      </c>
      <c r="G1317" s="11">
        <v>65000000</v>
      </c>
      <c r="H1317" s="11">
        <v>65000000</v>
      </c>
      <c r="I1317" s="4" t="s">
        <v>88</v>
      </c>
      <c r="J1317" s="4" t="s">
        <v>89</v>
      </c>
      <c r="K1317" s="11">
        <v>0</v>
      </c>
      <c r="L1317" s="4"/>
      <c r="M1317" s="4"/>
      <c r="N1317" s="11">
        <v>0</v>
      </c>
      <c r="O1317" s="4"/>
      <c r="P1317" s="4"/>
      <c r="Q1317" s="11">
        <v>0</v>
      </c>
      <c r="R1317" s="4"/>
      <c r="S1317" s="12"/>
    </row>
    <row r="1318" spans="1:19" x14ac:dyDescent="0.25">
      <c r="A1318" s="9" t="s">
        <v>1052</v>
      </c>
      <c r="B1318" s="9" t="s">
        <v>291</v>
      </c>
      <c r="C1318" s="4">
        <v>201004335</v>
      </c>
      <c r="D1318" s="4"/>
      <c r="E1318" s="4" t="str">
        <f>"087022010"</f>
        <v>087022010</v>
      </c>
      <c r="F1318" s="10">
        <v>40357</v>
      </c>
      <c r="G1318" s="11">
        <v>390000</v>
      </c>
      <c r="H1318" s="11">
        <v>0</v>
      </c>
      <c r="I1318" s="4"/>
      <c r="J1318" s="4"/>
      <c r="K1318" s="11">
        <v>390000</v>
      </c>
      <c r="L1318" s="4" t="s">
        <v>1053</v>
      </c>
      <c r="M1318" s="4" t="s">
        <v>1054</v>
      </c>
      <c r="N1318" s="11">
        <v>0</v>
      </c>
      <c r="O1318" s="4"/>
      <c r="P1318" s="4"/>
      <c r="Q1318" s="11">
        <v>0</v>
      </c>
      <c r="R1318" s="4"/>
      <c r="S1318" s="12"/>
    </row>
    <row r="1319" spans="1:19" x14ac:dyDescent="0.25">
      <c r="A1319" s="9" t="s">
        <v>1055</v>
      </c>
      <c r="B1319" s="9" t="s">
        <v>291</v>
      </c>
      <c r="C1319" s="4">
        <v>200905508</v>
      </c>
      <c r="D1319" s="4" t="s">
        <v>1056</v>
      </c>
      <c r="E1319" s="4" t="str">
        <f>"087732009"</f>
        <v>087732009</v>
      </c>
      <c r="F1319" s="10">
        <v>40092</v>
      </c>
      <c r="G1319" s="11">
        <v>38000</v>
      </c>
      <c r="H1319" s="11">
        <v>38000</v>
      </c>
      <c r="I1319" s="4" t="s">
        <v>98</v>
      </c>
      <c r="J1319" s="4" t="s">
        <v>99</v>
      </c>
      <c r="K1319" s="11">
        <v>0</v>
      </c>
      <c r="L1319" s="4"/>
      <c r="M1319" s="4"/>
      <c r="N1319" s="11">
        <v>0</v>
      </c>
      <c r="O1319" s="4"/>
      <c r="P1319" s="4"/>
      <c r="Q1319" s="11">
        <v>0</v>
      </c>
      <c r="R1319" s="4"/>
      <c r="S1319" s="12"/>
    </row>
    <row r="1320" spans="1:19" x14ac:dyDescent="0.25">
      <c r="A1320" s="9" t="s">
        <v>1055</v>
      </c>
      <c r="B1320" s="9" t="s">
        <v>291</v>
      </c>
      <c r="C1320" s="4">
        <v>201001318</v>
      </c>
      <c r="D1320" s="4" t="s">
        <v>1057</v>
      </c>
      <c r="E1320" s="4" t="str">
        <f>"024952010"</f>
        <v>024952010</v>
      </c>
      <c r="F1320" s="10">
        <v>40177</v>
      </c>
      <c r="G1320" s="11">
        <v>20000000</v>
      </c>
      <c r="H1320" s="11">
        <v>20000000</v>
      </c>
      <c r="I1320" s="4" t="s">
        <v>1058</v>
      </c>
      <c r="J1320" s="4" t="s">
        <v>1059</v>
      </c>
      <c r="K1320" s="11">
        <v>0</v>
      </c>
      <c r="L1320" s="4"/>
      <c r="M1320" s="4"/>
      <c r="N1320" s="11">
        <v>0</v>
      </c>
      <c r="O1320" s="4"/>
      <c r="P1320" s="4"/>
      <c r="Q1320" s="11">
        <v>0</v>
      </c>
      <c r="R1320" s="4"/>
      <c r="S1320" s="12"/>
    </row>
    <row r="1321" spans="1:19" x14ac:dyDescent="0.25">
      <c r="A1321" s="9" t="s">
        <v>1055</v>
      </c>
      <c r="B1321" s="9" t="s">
        <v>291</v>
      </c>
      <c r="C1321" s="4">
        <v>201005223</v>
      </c>
      <c r="D1321" s="4" t="s">
        <v>1060</v>
      </c>
      <c r="E1321" s="4" t="str">
        <f>"105352010"</f>
        <v>105352010</v>
      </c>
      <c r="F1321" s="10">
        <v>40415</v>
      </c>
      <c r="G1321" s="11">
        <v>140000</v>
      </c>
      <c r="H1321" s="11">
        <v>140000</v>
      </c>
      <c r="I1321" s="4" t="s">
        <v>68</v>
      </c>
      <c r="J1321" s="4" t="s">
        <v>69</v>
      </c>
      <c r="K1321" s="11">
        <v>0</v>
      </c>
      <c r="L1321" s="4"/>
      <c r="M1321" s="4"/>
      <c r="N1321" s="11">
        <v>0</v>
      </c>
      <c r="O1321" s="4"/>
      <c r="P1321" s="4"/>
      <c r="Q1321" s="11">
        <v>0</v>
      </c>
      <c r="R1321" s="4"/>
      <c r="S1321" s="12"/>
    </row>
    <row r="1322" spans="1:19" x14ac:dyDescent="0.25">
      <c r="A1322" s="9" t="s">
        <v>1061</v>
      </c>
      <c r="B1322" s="9" t="s">
        <v>1097</v>
      </c>
      <c r="C1322" s="4">
        <v>201002135</v>
      </c>
      <c r="D1322" s="4" t="s">
        <v>1062</v>
      </c>
      <c r="E1322" s="4" t="str">
        <f>"048732010"</f>
        <v>048732010</v>
      </c>
      <c r="F1322" s="10">
        <v>40256</v>
      </c>
      <c r="G1322" s="11">
        <v>1426962</v>
      </c>
      <c r="H1322" s="11">
        <v>1426962</v>
      </c>
      <c r="I1322" s="4" t="s">
        <v>98</v>
      </c>
      <c r="J1322" s="4" t="s">
        <v>99</v>
      </c>
      <c r="K1322" s="11">
        <v>0</v>
      </c>
      <c r="L1322" s="4"/>
      <c r="M1322" s="4"/>
      <c r="N1322" s="11">
        <v>0</v>
      </c>
      <c r="O1322" s="4"/>
      <c r="P1322" s="4"/>
      <c r="Q1322" s="11">
        <v>0</v>
      </c>
      <c r="R1322" s="4"/>
      <c r="S1322" s="12"/>
    </row>
    <row r="1323" spans="1:19" x14ac:dyDescent="0.25">
      <c r="A1323" s="9" t="s">
        <v>1063</v>
      </c>
      <c r="B1323" s="9" t="s">
        <v>291</v>
      </c>
      <c r="C1323" s="4">
        <v>201001065</v>
      </c>
      <c r="D1323" s="4" t="s">
        <v>1064</v>
      </c>
      <c r="E1323" s="4" t="str">
        <f>"029812010"</f>
        <v>029812010</v>
      </c>
      <c r="F1323" s="10">
        <v>40191</v>
      </c>
      <c r="G1323" s="11">
        <v>20000</v>
      </c>
      <c r="H1323" s="11">
        <v>20000</v>
      </c>
      <c r="I1323" s="4" t="s">
        <v>694</v>
      </c>
      <c r="J1323" s="4" t="s">
        <v>695</v>
      </c>
      <c r="K1323" s="11">
        <v>0</v>
      </c>
      <c r="L1323" s="4"/>
      <c r="M1323" s="4"/>
      <c r="N1323" s="11">
        <v>0</v>
      </c>
      <c r="O1323" s="4"/>
      <c r="P1323" s="4"/>
      <c r="Q1323" s="11">
        <v>0</v>
      </c>
      <c r="R1323" s="4"/>
      <c r="S1323" s="12"/>
    </row>
    <row r="1324" spans="1:19" x14ac:dyDescent="0.25">
      <c r="A1324" s="9" t="s">
        <v>1063</v>
      </c>
      <c r="B1324" s="9" t="s">
        <v>291</v>
      </c>
      <c r="C1324" s="4">
        <v>201005018</v>
      </c>
      <c r="D1324" s="4"/>
      <c r="E1324" s="4" t="str">
        <f>"100772010"</f>
        <v>100772010</v>
      </c>
      <c r="F1324" s="10">
        <v>40403</v>
      </c>
      <c r="G1324" s="11">
        <v>300</v>
      </c>
      <c r="H1324" s="11">
        <v>0</v>
      </c>
      <c r="I1324" s="4"/>
      <c r="J1324" s="4"/>
      <c r="K1324" s="11">
        <v>0</v>
      </c>
      <c r="L1324" s="4"/>
      <c r="M1324" s="4"/>
      <c r="N1324" s="11">
        <v>300</v>
      </c>
      <c r="O1324" s="4" t="s">
        <v>56</v>
      </c>
      <c r="P1324" s="4" t="s">
        <v>57</v>
      </c>
      <c r="Q1324" s="11">
        <v>0</v>
      </c>
      <c r="R1324" s="4"/>
      <c r="S1324" s="12"/>
    </row>
    <row r="1325" spans="1:19" x14ac:dyDescent="0.25">
      <c r="A1325" s="9" t="s">
        <v>1065</v>
      </c>
      <c r="B1325" s="9" t="s">
        <v>1065</v>
      </c>
      <c r="C1325" s="4">
        <v>201001000</v>
      </c>
      <c r="D1325" s="4" t="s">
        <v>1066</v>
      </c>
      <c r="E1325" s="4" t="str">
        <f>"019762010"</f>
        <v>019762010</v>
      </c>
      <c r="F1325" s="10">
        <v>40156</v>
      </c>
      <c r="G1325" s="11">
        <v>1906090.41</v>
      </c>
      <c r="H1325" s="11">
        <v>1900000</v>
      </c>
      <c r="I1325" s="4" t="s">
        <v>98</v>
      </c>
      <c r="J1325" s="4" t="s">
        <v>99</v>
      </c>
      <c r="K1325" s="11">
        <v>0</v>
      </c>
      <c r="L1325" s="4"/>
      <c r="M1325" s="4"/>
      <c r="N1325" s="11">
        <v>0</v>
      </c>
      <c r="O1325" s="4"/>
      <c r="P1325" s="4"/>
      <c r="Q1325" s="11">
        <v>6090.41</v>
      </c>
      <c r="R1325" s="4" t="s">
        <v>98</v>
      </c>
      <c r="S1325" s="12" t="s">
        <v>99</v>
      </c>
    </row>
    <row r="1326" spans="1:19" x14ac:dyDescent="0.25">
      <c r="A1326" s="9" t="s">
        <v>1065</v>
      </c>
      <c r="B1326" s="9" t="s">
        <v>291</v>
      </c>
      <c r="C1326" s="4">
        <v>201003654</v>
      </c>
      <c r="D1326" s="4"/>
      <c r="E1326" s="4" t="str">
        <f>"073982010"</f>
        <v>073982010</v>
      </c>
      <c r="F1326" s="10">
        <v>40331</v>
      </c>
      <c r="G1326" s="11">
        <v>100000</v>
      </c>
      <c r="H1326" s="11">
        <v>100000</v>
      </c>
      <c r="I1326" s="4" t="s">
        <v>1067</v>
      </c>
      <c r="J1326" s="4" t="s">
        <v>1068</v>
      </c>
      <c r="K1326" s="11">
        <v>0</v>
      </c>
      <c r="L1326" s="4"/>
      <c r="M1326" s="4"/>
      <c r="N1326" s="11">
        <v>0</v>
      </c>
      <c r="O1326" s="4"/>
      <c r="P1326" s="4"/>
      <c r="Q1326" s="11">
        <v>0</v>
      </c>
      <c r="R1326" s="4"/>
      <c r="S1326" s="12"/>
    </row>
    <row r="1327" spans="1:19" x14ac:dyDescent="0.25">
      <c r="A1327" s="9" t="s">
        <v>1069</v>
      </c>
      <c r="B1327" s="9" t="s">
        <v>291</v>
      </c>
      <c r="C1327" s="4">
        <v>201004522</v>
      </c>
      <c r="D1327" s="4" t="s">
        <v>2534</v>
      </c>
      <c r="E1327" s="4" t="str">
        <f>"090422010"</f>
        <v>090422010</v>
      </c>
      <c r="F1327" s="10">
        <v>40367</v>
      </c>
      <c r="G1327" s="11">
        <v>7643</v>
      </c>
      <c r="H1327" s="11">
        <v>0</v>
      </c>
      <c r="I1327" s="4"/>
      <c r="J1327" s="4"/>
      <c r="K1327" s="11">
        <v>7643</v>
      </c>
      <c r="L1327" s="4" t="s">
        <v>234</v>
      </c>
      <c r="M1327" s="4" t="s">
        <v>235</v>
      </c>
      <c r="N1327" s="11">
        <v>0</v>
      </c>
      <c r="O1327" s="4"/>
      <c r="P1327" s="4"/>
      <c r="Q1327" s="11">
        <v>0</v>
      </c>
      <c r="R1327" s="4"/>
      <c r="S1327" s="12"/>
    </row>
    <row r="1328" spans="1:19" x14ac:dyDescent="0.25">
      <c r="A1328" s="9" t="s">
        <v>1070</v>
      </c>
      <c r="B1328" s="9" t="s">
        <v>291</v>
      </c>
      <c r="C1328" s="4">
        <v>201000010</v>
      </c>
      <c r="D1328" s="4" t="s">
        <v>1071</v>
      </c>
      <c r="E1328" s="4" t="str">
        <f>"000462010"</f>
        <v>000462010</v>
      </c>
      <c r="F1328" s="10">
        <v>40092</v>
      </c>
      <c r="G1328" s="11">
        <v>100000</v>
      </c>
      <c r="H1328" s="11">
        <v>100000</v>
      </c>
      <c r="I1328" s="4" t="s">
        <v>23</v>
      </c>
      <c r="J1328" s="4" t="s">
        <v>24</v>
      </c>
      <c r="K1328" s="11">
        <v>0</v>
      </c>
      <c r="L1328" s="4"/>
      <c r="M1328" s="4"/>
      <c r="N1328" s="11">
        <v>0</v>
      </c>
      <c r="O1328" s="4"/>
      <c r="P1328" s="4"/>
      <c r="Q1328" s="11">
        <v>0</v>
      </c>
      <c r="R1328" s="4"/>
      <c r="S1328" s="12"/>
    </row>
    <row r="1329" spans="1:19" x14ac:dyDescent="0.25">
      <c r="A1329" s="9" t="s">
        <v>1070</v>
      </c>
      <c r="B1329" s="9" t="s">
        <v>291</v>
      </c>
      <c r="C1329" s="4">
        <v>201000389</v>
      </c>
      <c r="D1329" s="4" t="s">
        <v>1072</v>
      </c>
      <c r="E1329" s="4" t="str">
        <f>"007272010"</f>
        <v>007272010</v>
      </c>
      <c r="F1329" s="10">
        <v>40115</v>
      </c>
      <c r="G1329" s="11">
        <v>17500</v>
      </c>
      <c r="H1329" s="11">
        <v>17500</v>
      </c>
      <c r="I1329" s="4" t="s">
        <v>931</v>
      </c>
      <c r="J1329" s="4" t="s">
        <v>932</v>
      </c>
      <c r="K1329" s="11">
        <v>0</v>
      </c>
      <c r="L1329" s="4"/>
      <c r="M1329" s="4"/>
      <c r="N1329" s="11">
        <v>0</v>
      </c>
      <c r="O1329" s="4"/>
      <c r="P1329" s="4"/>
      <c r="Q1329" s="11">
        <v>0</v>
      </c>
      <c r="R1329" s="4"/>
      <c r="S1329" s="12"/>
    </row>
    <row r="1330" spans="1:19" x14ac:dyDescent="0.25">
      <c r="A1330" s="9" t="s">
        <v>1070</v>
      </c>
      <c r="B1330" s="9" t="s">
        <v>291</v>
      </c>
      <c r="C1330" s="4">
        <v>201000597</v>
      </c>
      <c r="D1330" s="4" t="s">
        <v>1073</v>
      </c>
      <c r="E1330" s="4" t="str">
        <f>"011332010"</f>
        <v>011332010</v>
      </c>
      <c r="F1330" s="10">
        <v>40129</v>
      </c>
      <c r="G1330" s="11">
        <v>495000</v>
      </c>
      <c r="H1330" s="11">
        <v>495000</v>
      </c>
      <c r="I1330" s="4" t="s">
        <v>23</v>
      </c>
      <c r="J1330" s="4" t="s">
        <v>24</v>
      </c>
      <c r="K1330" s="11">
        <v>0</v>
      </c>
      <c r="L1330" s="4"/>
      <c r="M1330" s="4"/>
      <c r="N1330" s="11">
        <v>0</v>
      </c>
      <c r="O1330" s="4"/>
      <c r="P1330" s="4"/>
      <c r="Q1330" s="11">
        <v>0</v>
      </c>
      <c r="R1330" s="4"/>
      <c r="S1330" s="12"/>
    </row>
    <row r="1331" spans="1:19" x14ac:dyDescent="0.25">
      <c r="A1331" s="9" t="s">
        <v>1070</v>
      </c>
      <c r="B1331" s="9" t="s">
        <v>291</v>
      </c>
      <c r="C1331" s="4">
        <v>201001270</v>
      </c>
      <c r="D1331" s="4" t="s">
        <v>1074</v>
      </c>
      <c r="E1331" s="4" t="str">
        <f>"024932010"</f>
        <v>024932010</v>
      </c>
      <c r="F1331" s="10">
        <v>40177</v>
      </c>
      <c r="G1331" s="11">
        <v>5000000</v>
      </c>
      <c r="H1331" s="11">
        <v>5000000</v>
      </c>
      <c r="I1331" s="4" t="s">
        <v>68</v>
      </c>
      <c r="J1331" s="4" t="s">
        <v>69</v>
      </c>
      <c r="K1331" s="11">
        <v>0</v>
      </c>
      <c r="L1331" s="4"/>
      <c r="M1331" s="4"/>
      <c r="N1331" s="11">
        <v>0</v>
      </c>
      <c r="O1331" s="4"/>
      <c r="P1331" s="4"/>
      <c r="Q1331" s="11">
        <v>0</v>
      </c>
      <c r="R1331" s="4"/>
      <c r="S1331" s="12"/>
    </row>
    <row r="1332" spans="1:19" x14ac:dyDescent="0.25">
      <c r="A1332" s="9" t="s">
        <v>1070</v>
      </c>
      <c r="B1332" s="9" t="s">
        <v>291</v>
      </c>
      <c r="C1332" s="4">
        <v>201002022</v>
      </c>
      <c r="D1332" s="4" t="s">
        <v>1075</v>
      </c>
      <c r="E1332" s="4" t="str">
        <f>"039642010"</f>
        <v>039642010</v>
      </c>
      <c r="F1332" s="10">
        <v>40232</v>
      </c>
      <c r="G1332" s="11">
        <v>45000</v>
      </c>
      <c r="H1332" s="11">
        <v>45000</v>
      </c>
      <c r="I1332" s="4" t="s">
        <v>179</v>
      </c>
      <c r="J1332" s="4" t="s">
        <v>180</v>
      </c>
      <c r="K1332" s="11">
        <v>0</v>
      </c>
      <c r="L1332" s="4"/>
      <c r="M1332" s="4"/>
      <c r="N1332" s="11">
        <v>0</v>
      </c>
      <c r="O1332" s="4"/>
      <c r="P1332" s="4"/>
      <c r="Q1332" s="11">
        <v>0</v>
      </c>
      <c r="R1332" s="4"/>
      <c r="S1332" s="12"/>
    </row>
    <row r="1333" spans="1:19" x14ac:dyDescent="0.25">
      <c r="A1333" s="9" t="s">
        <v>1070</v>
      </c>
      <c r="B1333" s="9" t="s">
        <v>291</v>
      </c>
      <c r="C1333" s="4">
        <v>201002473</v>
      </c>
      <c r="D1333" s="4" t="s">
        <v>1076</v>
      </c>
      <c r="E1333" s="4" t="str">
        <f>"061722010"</f>
        <v>061722010</v>
      </c>
      <c r="F1333" s="10">
        <v>40296</v>
      </c>
      <c r="G1333" s="11">
        <v>13000</v>
      </c>
      <c r="H1333" s="11">
        <v>13000</v>
      </c>
      <c r="I1333" s="4" t="s">
        <v>38</v>
      </c>
      <c r="J1333" s="4" t="s">
        <v>39</v>
      </c>
      <c r="K1333" s="11">
        <v>0</v>
      </c>
      <c r="L1333" s="4"/>
      <c r="M1333" s="4"/>
      <c r="N1333" s="11">
        <v>0</v>
      </c>
      <c r="O1333" s="4"/>
      <c r="P1333" s="4"/>
      <c r="Q1333" s="11">
        <v>0</v>
      </c>
      <c r="R1333" s="4"/>
      <c r="S1333" s="12"/>
    </row>
    <row r="1334" spans="1:19" x14ac:dyDescent="0.25">
      <c r="A1334" s="9" t="s">
        <v>1070</v>
      </c>
      <c r="B1334" s="9" t="s">
        <v>291</v>
      </c>
      <c r="C1334" s="4">
        <v>201002718</v>
      </c>
      <c r="D1334" s="4" t="s">
        <v>1077</v>
      </c>
      <c r="E1334" s="4" t="str">
        <f>"054242010"</f>
        <v>054242010</v>
      </c>
      <c r="F1334" s="10">
        <v>40270</v>
      </c>
      <c r="G1334" s="11">
        <v>26000</v>
      </c>
      <c r="H1334" s="11">
        <v>26000</v>
      </c>
      <c r="I1334" s="4" t="s">
        <v>68</v>
      </c>
      <c r="J1334" s="4" t="s">
        <v>69</v>
      </c>
      <c r="K1334" s="11">
        <v>0</v>
      </c>
      <c r="L1334" s="4"/>
      <c r="M1334" s="4"/>
      <c r="N1334" s="11">
        <v>0</v>
      </c>
      <c r="O1334" s="4"/>
      <c r="P1334" s="4"/>
      <c r="Q1334" s="11">
        <v>0</v>
      </c>
      <c r="R1334" s="4"/>
      <c r="S1334" s="12"/>
    </row>
    <row r="1335" spans="1:19" x14ac:dyDescent="0.25">
      <c r="A1335" s="9" t="s">
        <v>1070</v>
      </c>
      <c r="B1335" s="9" t="s">
        <v>291</v>
      </c>
      <c r="C1335" s="4">
        <v>201002809</v>
      </c>
      <c r="D1335" s="4" t="s">
        <v>2534</v>
      </c>
      <c r="E1335" s="4" t="str">
        <f>"055852010"</f>
        <v>055852010</v>
      </c>
      <c r="F1335" s="10">
        <v>40275</v>
      </c>
      <c r="G1335" s="11">
        <v>21370</v>
      </c>
      <c r="H1335" s="11">
        <v>0</v>
      </c>
      <c r="I1335" s="4"/>
      <c r="J1335" s="4"/>
      <c r="K1335" s="11">
        <v>21370</v>
      </c>
      <c r="L1335" s="4" t="s">
        <v>234</v>
      </c>
      <c r="M1335" s="4" t="s">
        <v>235</v>
      </c>
      <c r="N1335" s="11">
        <v>0</v>
      </c>
      <c r="O1335" s="4"/>
      <c r="P1335" s="4"/>
      <c r="Q1335" s="11">
        <v>0</v>
      </c>
      <c r="R1335" s="4"/>
      <c r="S1335" s="12"/>
    </row>
    <row r="1336" spans="1:19" x14ac:dyDescent="0.25">
      <c r="A1336" s="9" t="s">
        <v>1070</v>
      </c>
      <c r="B1336" s="9" t="s">
        <v>291</v>
      </c>
      <c r="C1336" s="4">
        <v>201003215</v>
      </c>
      <c r="D1336" s="4" t="s">
        <v>1078</v>
      </c>
      <c r="E1336" s="4" t="str">
        <f>"076762010"</f>
        <v>076762010</v>
      </c>
      <c r="F1336" s="10">
        <v>40337</v>
      </c>
      <c r="G1336" s="11">
        <v>35000</v>
      </c>
      <c r="H1336" s="11">
        <v>35000</v>
      </c>
      <c r="I1336" s="4" t="s">
        <v>1058</v>
      </c>
      <c r="J1336" s="4" t="s">
        <v>1059</v>
      </c>
      <c r="K1336" s="11">
        <v>0</v>
      </c>
      <c r="L1336" s="4"/>
      <c r="M1336" s="4"/>
      <c r="N1336" s="11">
        <v>0</v>
      </c>
      <c r="O1336" s="4"/>
      <c r="P1336" s="4"/>
      <c r="Q1336" s="11">
        <v>0</v>
      </c>
      <c r="R1336" s="4"/>
      <c r="S1336" s="12"/>
    </row>
    <row r="1337" spans="1:19" x14ac:dyDescent="0.25">
      <c r="A1337" s="9" t="s">
        <v>1070</v>
      </c>
      <c r="B1337" s="9" t="s">
        <v>552</v>
      </c>
      <c r="C1337" s="4">
        <v>201003866</v>
      </c>
      <c r="D1337" s="4" t="s">
        <v>1079</v>
      </c>
      <c r="E1337" s="4" t="str">
        <f>"081742010"</f>
        <v>081742010</v>
      </c>
      <c r="F1337" s="10">
        <v>40353</v>
      </c>
      <c r="G1337" s="11">
        <v>45000</v>
      </c>
      <c r="H1337" s="11">
        <v>45000</v>
      </c>
      <c r="I1337" s="4" t="s">
        <v>30</v>
      </c>
      <c r="J1337" s="4" t="s">
        <v>31</v>
      </c>
      <c r="K1337" s="11">
        <v>0</v>
      </c>
      <c r="L1337" s="4"/>
      <c r="M1337" s="4"/>
      <c r="N1337" s="11">
        <v>0</v>
      </c>
      <c r="O1337" s="4"/>
      <c r="P1337" s="4"/>
      <c r="Q1337" s="11">
        <v>0</v>
      </c>
      <c r="R1337" s="4"/>
      <c r="S1337" s="12"/>
    </row>
    <row r="1338" spans="1:19" x14ac:dyDescent="0.25">
      <c r="A1338" s="9" t="s">
        <v>1070</v>
      </c>
      <c r="B1338" s="9" t="s">
        <v>291</v>
      </c>
      <c r="C1338" s="4">
        <v>201004869</v>
      </c>
      <c r="D1338" s="4"/>
      <c r="E1338" s="4" t="str">
        <f>"097182010"</f>
        <v>097182010</v>
      </c>
      <c r="F1338" s="10">
        <v>40387</v>
      </c>
      <c r="G1338" s="11">
        <v>500000</v>
      </c>
      <c r="H1338" s="11">
        <v>500000</v>
      </c>
      <c r="I1338" s="4" t="s">
        <v>1080</v>
      </c>
      <c r="J1338" s="4" t="s">
        <v>1081</v>
      </c>
      <c r="K1338" s="11">
        <v>0</v>
      </c>
      <c r="L1338" s="4"/>
      <c r="M1338" s="4"/>
      <c r="N1338" s="11">
        <v>0</v>
      </c>
      <c r="O1338" s="4"/>
      <c r="P1338" s="4"/>
      <c r="Q1338" s="11">
        <v>0</v>
      </c>
      <c r="R1338" s="4"/>
      <c r="S1338" s="12"/>
    </row>
    <row r="1339" spans="1:19" x14ac:dyDescent="0.25">
      <c r="A1339" s="9" t="s">
        <v>1070</v>
      </c>
      <c r="B1339" s="9" t="s">
        <v>291</v>
      </c>
      <c r="C1339" s="4">
        <v>201004934</v>
      </c>
      <c r="D1339" s="4" t="s">
        <v>1082</v>
      </c>
      <c r="E1339" s="4" t="str">
        <f>"099252010"</f>
        <v>099252010</v>
      </c>
      <c r="F1339" s="10">
        <v>40396</v>
      </c>
      <c r="G1339" s="11">
        <v>2500</v>
      </c>
      <c r="H1339" s="11">
        <v>2500</v>
      </c>
      <c r="I1339" s="4" t="s">
        <v>68</v>
      </c>
      <c r="J1339" s="4" t="s">
        <v>69</v>
      </c>
      <c r="K1339" s="11">
        <v>0</v>
      </c>
      <c r="L1339" s="4"/>
      <c r="M1339" s="4"/>
      <c r="N1339" s="11">
        <v>0</v>
      </c>
      <c r="O1339" s="4"/>
      <c r="P1339" s="4"/>
      <c r="Q1339" s="11">
        <v>0</v>
      </c>
      <c r="R1339" s="4"/>
      <c r="S1339" s="12"/>
    </row>
    <row r="1340" spans="1:19" x14ac:dyDescent="0.25">
      <c r="A1340" s="9" t="s">
        <v>1083</v>
      </c>
      <c r="B1340" s="9" t="s">
        <v>291</v>
      </c>
      <c r="C1340" s="4">
        <v>201004977</v>
      </c>
      <c r="D1340" s="4" t="s">
        <v>1084</v>
      </c>
      <c r="E1340" s="4" t="str">
        <f>"099162010"</f>
        <v>099162010</v>
      </c>
      <c r="F1340" s="10">
        <v>40396</v>
      </c>
      <c r="G1340" s="11">
        <v>5000</v>
      </c>
      <c r="H1340" s="11">
        <v>5000</v>
      </c>
      <c r="I1340" s="4" t="s">
        <v>23</v>
      </c>
      <c r="J1340" s="4" t="s">
        <v>24</v>
      </c>
      <c r="K1340" s="11">
        <v>0</v>
      </c>
      <c r="L1340" s="4"/>
      <c r="M1340" s="4"/>
      <c r="N1340" s="11">
        <v>0</v>
      </c>
      <c r="O1340" s="4"/>
      <c r="P1340" s="4"/>
      <c r="Q1340" s="11">
        <v>0</v>
      </c>
      <c r="R1340" s="4"/>
      <c r="S1340" s="12"/>
    </row>
    <row r="1341" spans="1:19" x14ac:dyDescent="0.25">
      <c r="A1341" s="9" t="s">
        <v>1085</v>
      </c>
      <c r="B1341" s="9" t="s">
        <v>291</v>
      </c>
      <c r="C1341" s="4">
        <v>201001777</v>
      </c>
      <c r="D1341" s="4" t="s">
        <v>1086</v>
      </c>
      <c r="E1341" s="4" t="str">
        <f>"035182010"</f>
        <v>035182010</v>
      </c>
      <c r="F1341" s="10">
        <v>40213</v>
      </c>
      <c r="G1341" s="11">
        <v>155000</v>
      </c>
      <c r="H1341" s="11">
        <v>155000</v>
      </c>
      <c r="I1341" s="4" t="s">
        <v>30</v>
      </c>
      <c r="J1341" s="4" t="s">
        <v>31</v>
      </c>
      <c r="K1341" s="11">
        <v>0</v>
      </c>
      <c r="L1341" s="4"/>
      <c r="M1341" s="4"/>
      <c r="N1341" s="11">
        <v>0</v>
      </c>
      <c r="O1341" s="4"/>
      <c r="P1341" s="4"/>
      <c r="Q1341" s="11">
        <v>0</v>
      </c>
      <c r="R1341" s="4"/>
      <c r="S1341" s="12"/>
    </row>
    <row r="1342" spans="1:19" x14ac:dyDescent="0.25">
      <c r="A1342" s="9" t="s">
        <v>1085</v>
      </c>
      <c r="B1342" s="9" t="s">
        <v>291</v>
      </c>
      <c r="C1342" s="4">
        <v>201002447</v>
      </c>
      <c r="D1342" s="4" t="s">
        <v>1087</v>
      </c>
      <c r="E1342" s="4" t="str">
        <f>"052962010"</f>
        <v>052962010</v>
      </c>
      <c r="F1342" s="10">
        <v>40276</v>
      </c>
      <c r="G1342" s="11">
        <v>8500</v>
      </c>
      <c r="H1342" s="11">
        <v>8500</v>
      </c>
      <c r="I1342" s="4" t="s">
        <v>23</v>
      </c>
      <c r="J1342" s="4" t="s">
        <v>24</v>
      </c>
      <c r="K1342" s="11">
        <v>0</v>
      </c>
      <c r="L1342" s="4"/>
      <c r="M1342" s="4"/>
      <c r="N1342" s="11">
        <v>0</v>
      </c>
      <c r="O1342" s="4"/>
      <c r="P1342" s="4"/>
      <c r="Q1342" s="11">
        <v>0</v>
      </c>
      <c r="R1342" s="4"/>
      <c r="S1342" s="12"/>
    </row>
    <row r="1343" spans="1:19" x14ac:dyDescent="0.25">
      <c r="A1343" s="9" t="s">
        <v>1088</v>
      </c>
      <c r="B1343" s="9" t="s">
        <v>291</v>
      </c>
      <c r="C1343" s="4">
        <v>201004017</v>
      </c>
      <c r="D1343" s="4"/>
      <c r="E1343" s="4" t="str">
        <f>"080542010"</f>
        <v>080542010</v>
      </c>
      <c r="F1343" s="10">
        <v>40346</v>
      </c>
      <c r="G1343" s="11">
        <v>1200</v>
      </c>
      <c r="H1343" s="11">
        <v>1200</v>
      </c>
      <c r="I1343" s="4" t="s">
        <v>54</v>
      </c>
      <c r="J1343" s="4" t="s">
        <v>55</v>
      </c>
      <c r="K1343" s="11">
        <v>0</v>
      </c>
      <c r="L1343" s="4"/>
      <c r="M1343" s="4"/>
      <c r="N1343" s="11">
        <v>0</v>
      </c>
      <c r="O1343" s="4"/>
      <c r="P1343" s="4"/>
      <c r="Q1343" s="11">
        <v>0</v>
      </c>
      <c r="R1343" s="4"/>
      <c r="S1343" s="12"/>
    </row>
    <row r="1344" spans="1:19" x14ac:dyDescent="0.25">
      <c r="A1344" s="9" t="s">
        <v>1089</v>
      </c>
      <c r="B1344" s="9" t="s">
        <v>291</v>
      </c>
      <c r="C1344" s="4">
        <v>201003081</v>
      </c>
      <c r="D1344" s="4" t="s">
        <v>1090</v>
      </c>
      <c r="E1344" s="4" t="str">
        <f>"062562010"</f>
        <v>062562010</v>
      </c>
      <c r="F1344" s="10">
        <v>40296</v>
      </c>
      <c r="G1344" s="11">
        <v>75000</v>
      </c>
      <c r="H1344" s="11">
        <v>75000</v>
      </c>
      <c r="I1344" s="4" t="s">
        <v>30</v>
      </c>
      <c r="J1344" s="4" t="s">
        <v>31</v>
      </c>
      <c r="K1344" s="11">
        <v>0</v>
      </c>
      <c r="L1344" s="4"/>
      <c r="M1344" s="4"/>
      <c r="N1344" s="11">
        <v>0</v>
      </c>
      <c r="O1344" s="4"/>
      <c r="P1344" s="4"/>
      <c r="Q1344" s="11">
        <v>0</v>
      </c>
      <c r="R1344" s="4"/>
      <c r="S1344" s="12"/>
    </row>
    <row r="1345" spans="1:19" x14ac:dyDescent="0.25">
      <c r="A1345" s="9" t="s">
        <v>1089</v>
      </c>
      <c r="B1345" s="9" t="s">
        <v>291</v>
      </c>
      <c r="C1345" s="4">
        <v>201003725</v>
      </c>
      <c r="D1345" s="4" t="s">
        <v>1091</v>
      </c>
      <c r="E1345" s="4" t="str">
        <f>"077432010"</f>
        <v>077432010</v>
      </c>
      <c r="F1345" s="10">
        <v>40340</v>
      </c>
      <c r="G1345" s="11">
        <v>20000</v>
      </c>
      <c r="H1345" s="11">
        <v>20000</v>
      </c>
      <c r="I1345" s="4" t="s">
        <v>30</v>
      </c>
      <c r="J1345" s="4" t="s">
        <v>31</v>
      </c>
      <c r="K1345" s="11">
        <v>0</v>
      </c>
      <c r="L1345" s="4"/>
      <c r="M1345" s="4"/>
      <c r="N1345" s="11">
        <v>0</v>
      </c>
      <c r="O1345" s="4"/>
      <c r="P1345" s="4"/>
      <c r="Q1345" s="11">
        <v>0</v>
      </c>
      <c r="R1345" s="4"/>
      <c r="S1345" s="12"/>
    </row>
    <row r="1346" spans="1:19" x14ac:dyDescent="0.25">
      <c r="A1346" s="9" t="s">
        <v>1092</v>
      </c>
      <c r="B1346" s="9" t="s">
        <v>291</v>
      </c>
      <c r="C1346" s="4">
        <v>201000622</v>
      </c>
      <c r="D1346" s="4" t="s">
        <v>1093</v>
      </c>
      <c r="E1346" s="4" t="str">
        <f>"012612010"</f>
        <v>012612010</v>
      </c>
      <c r="F1346" s="10">
        <v>40134</v>
      </c>
      <c r="G1346" s="11">
        <v>510</v>
      </c>
      <c r="H1346" s="11">
        <v>0</v>
      </c>
      <c r="I1346" s="4"/>
      <c r="J1346" s="4"/>
      <c r="K1346" s="11">
        <v>0</v>
      </c>
      <c r="L1346" s="4"/>
      <c r="M1346" s="4"/>
      <c r="N1346" s="11">
        <v>510</v>
      </c>
      <c r="O1346" s="4" t="s">
        <v>56</v>
      </c>
      <c r="P1346" s="4" t="s">
        <v>57</v>
      </c>
      <c r="Q1346" s="11">
        <v>0</v>
      </c>
      <c r="R1346" s="4"/>
      <c r="S1346" s="12"/>
    </row>
    <row r="1347" spans="1:19" x14ac:dyDescent="0.25">
      <c r="A1347" s="9" t="s">
        <v>1092</v>
      </c>
      <c r="B1347" s="9" t="s">
        <v>291</v>
      </c>
      <c r="C1347" s="4">
        <v>201002475</v>
      </c>
      <c r="D1347" s="4"/>
      <c r="E1347" s="4" t="str">
        <f>"053522010"</f>
        <v>053522010</v>
      </c>
      <c r="F1347" s="10">
        <v>40273</v>
      </c>
      <c r="G1347" s="11">
        <v>1501.07</v>
      </c>
      <c r="H1347" s="11">
        <v>0</v>
      </c>
      <c r="I1347" s="4"/>
      <c r="J1347" s="4"/>
      <c r="K1347" s="11">
        <v>0</v>
      </c>
      <c r="L1347" s="4"/>
      <c r="M1347" s="4"/>
      <c r="N1347" s="11">
        <v>1501.07</v>
      </c>
      <c r="O1347" s="4" t="s">
        <v>56</v>
      </c>
      <c r="P1347" s="4" t="s">
        <v>57</v>
      </c>
      <c r="Q1347" s="11">
        <v>0</v>
      </c>
      <c r="R1347" s="4"/>
      <c r="S1347" s="12"/>
    </row>
    <row r="1348" spans="1:19" x14ac:dyDescent="0.25">
      <c r="A1348" s="9" t="s">
        <v>1092</v>
      </c>
      <c r="B1348" s="9" t="s">
        <v>291</v>
      </c>
      <c r="C1348" s="4">
        <v>201004400</v>
      </c>
      <c r="D1348" s="4" t="s">
        <v>1094</v>
      </c>
      <c r="E1348" s="4" t="str">
        <f>"093902010"</f>
        <v>093902010</v>
      </c>
      <c r="F1348" s="10">
        <v>40375</v>
      </c>
      <c r="G1348" s="11">
        <v>25000</v>
      </c>
      <c r="H1348" s="11">
        <v>25000</v>
      </c>
      <c r="I1348" s="4" t="s">
        <v>23</v>
      </c>
      <c r="J1348" s="4" t="s">
        <v>24</v>
      </c>
      <c r="K1348" s="11">
        <v>0</v>
      </c>
      <c r="L1348" s="4"/>
      <c r="M1348" s="4"/>
      <c r="N1348" s="11">
        <v>0</v>
      </c>
      <c r="O1348" s="4"/>
      <c r="P1348" s="4"/>
      <c r="Q1348" s="11">
        <v>0</v>
      </c>
      <c r="R1348" s="4"/>
      <c r="S1348" s="12"/>
    </row>
    <row r="1349" spans="1:19" x14ac:dyDescent="0.25">
      <c r="A1349" s="9" t="s">
        <v>1095</v>
      </c>
      <c r="B1349" s="9" t="s">
        <v>291</v>
      </c>
      <c r="C1349" s="4">
        <v>201003191</v>
      </c>
      <c r="D1349" s="4" t="s">
        <v>2534</v>
      </c>
      <c r="E1349" s="4" t="str">
        <f>"063482010"</f>
        <v>063482010</v>
      </c>
      <c r="F1349" s="10">
        <v>40297</v>
      </c>
      <c r="G1349" s="11">
        <v>55000</v>
      </c>
      <c r="H1349" s="11">
        <v>0</v>
      </c>
      <c r="I1349" s="4"/>
      <c r="J1349" s="4"/>
      <c r="K1349" s="11">
        <v>55000</v>
      </c>
      <c r="L1349" s="4" t="s">
        <v>30</v>
      </c>
      <c r="M1349" s="4" t="s">
        <v>31</v>
      </c>
      <c r="N1349" s="11">
        <v>0</v>
      </c>
      <c r="O1349" s="4"/>
      <c r="P1349" s="4"/>
      <c r="Q1349" s="11">
        <v>0</v>
      </c>
      <c r="R1349" s="4"/>
      <c r="S1349" s="12"/>
    </row>
    <row r="1350" spans="1:19" x14ac:dyDescent="0.25">
      <c r="A1350" s="9" t="s">
        <v>1095</v>
      </c>
      <c r="B1350" s="9" t="s">
        <v>291</v>
      </c>
      <c r="C1350" s="4">
        <v>201003191</v>
      </c>
      <c r="D1350" s="4" t="s">
        <v>1096</v>
      </c>
      <c r="E1350" s="4" t="str">
        <f>"063462010"</f>
        <v>063462010</v>
      </c>
      <c r="F1350" s="10">
        <v>40297</v>
      </c>
      <c r="G1350" s="11">
        <v>20000</v>
      </c>
      <c r="H1350" s="11">
        <v>20000</v>
      </c>
      <c r="I1350" s="4" t="s">
        <v>30</v>
      </c>
      <c r="J1350" s="4" t="s">
        <v>31</v>
      </c>
      <c r="K1350" s="11">
        <v>0</v>
      </c>
      <c r="L1350" s="4"/>
      <c r="M1350" s="4"/>
      <c r="N1350" s="11">
        <v>0</v>
      </c>
      <c r="O1350" s="4"/>
      <c r="P1350" s="4"/>
      <c r="Q1350" s="11">
        <v>0</v>
      </c>
      <c r="R1350" s="4"/>
      <c r="S1350" s="12"/>
    </row>
    <row r="1351" spans="1:19" x14ac:dyDescent="0.25">
      <c r="A1351" s="9" t="s">
        <v>1097</v>
      </c>
      <c r="B1351" s="9" t="s">
        <v>291</v>
      </c>
      <c r="C1351" s="4">
        <v>200905889</v>
      </c>
      <c r="D1351" s="4" t="s">
        <v>1098</v>
      </c>
      <c r="E1351" s="4" t="str">
        <f>"087422009"</f>
        <v>087422009</v>
      </c>
      <c r="F1351" s="10">
        <v>40092</v>
      </c>
      <c r="G1351" s="11">
        <v>1500</v>
      </c>
      <c r="H1351" s="11">
        <v>1500</v>
      </c>
      <c r="I1351" s="4" t="s">
        <v>30</v>
      </c>
      <c r="J1351" s="4" t="s">
        <v>31</v>
      </c>
      <c r="K1351" s="11">
        <v>0</v>
      </c>
      <c r="L1351" s="4"/>
      <c r="M1351" s="4"/>
      <c r="N1351" s="11">
        <v>0</v>
      </c>
      <c r="O1351" s="4"/>
      <c r="P1351" s="4"/>
      <c r="Q1351" s="11">
        <v>0</v>
      </c>
      <c r="R1351" s="4"/>
      <c r="S1351" s="12"/>
    </row>
    <row r="1352" spans="1:19" x14ac:dyDescent="0.25">
      <c r="A1352" s="9" t="s">
        <v>1097</v>
      </c>
      <c r="B1352" s="9" t="s">
        <v>1097</v>
      </c>
      <c r="C1352" s="4">
        <v>201000212</v>
      </c>
      <c r="D1352" s="4" t="s">
        <v>1099</v>
      </c>
      <c r="E1352" s="4" t="str">
        <f>"005292010"</f>
        <v>005292010</v>
      </c>
      <c r="F1352" s="10">
        <v>40108</v>
      </c>
      <c r="G1352" s="11">
        <v>5857455</v>
      </c>
      <c r="H1352" s="11">
        <v>5857455</v>
      </c>
      <c r="I1352" s="4" t="s">
        <v>98</v>
      </c>
      <c r="J1352" s="4" t="s">
        <v>99</v>
      </c>
      <c r="K1352" s="11">
        <v>0</v>
      </c>
      <c r="L1352" s="4"/>
      <c r="M1352" s="4"/>
      <c r="N1352" s="11">
        <v>0</v>
      </c>
      <c r="O1352" s="4"/>
      <c r="P1352" s="4"/>
      <c r="Q1352" s="11">
        <v>0</v>
      </c>
      <c r="R1352" s="4"/>
      <c r="S1352" s="12"/>
    </row>
    <row r="1353" spans="1:19" x14ac:dyDescent="0.25">
      <c r="A1353" s="9" t="s">
        <v>1097</v>
      </c>
      <c r="B1353" s="9" t="s">
        <v>291</v>
      </c>
      <c r="C1353" s="4">
        <v>201000259</v>
      </c>
      <c r="D1353" s="4" t="s">
        <v>1100</v>
      </c>
      <c r="E1353" s="4" t="str">
        <f>"007152010"</f>
        <v>007152010</v>
      </c>
      <c r="F1353" s="10">
        <v>40115</v>
      </c>
      <c r="G1353" s="11">
        <v>50000</v>
      </c>
      <c r="H1353" s="11">
        <v>50000</v>
      </c>
      <c r="I1353" s="4" t="s">
        <v>30</v>
      </c>
      <c r="J1353" s="4" t="s">
        <v>31</v>
      </c>
      <c r="K1353" s="11">
        <v>0</v>
      </c>
      <c r="L1353" s="4"/>
      <c r="M1353" s="4"/>
      <c r="N1353" s="11">
        <v>0</v>
      </c>
      <c r="O1353" s="4"/>
      <c r="P1353" s="4"/>
      <c r="Q1353" s="11">
        <v>0</v>
      </c>
      <c r="R1353" s="4"/>
      <c r="S1353" s="12"/>
    </row>
    <row r="1354" spans="1:19" x14ac:dyDescent="0.25">
      <c r="A1354" s="9" t="s">
        <v>1097</v>
      </c>
      <c r="B1354" s="9" t="s">
        <v>291</v>
      </c>
      <c r="C1354" s="4">
        <v>201000435</v>
      </c>
      <c r="D1354" s="4" t="s">
        <v>1101</v>
      </c>
      <c r="E1354" s="4" t="str">
        <f>"016082010"</f>
        <v>016082010</v>
      </c>
      <c r="F1354" s="10">
        <v>40149</v>
      </c>
      <c r="G1354" s="11">
        <v>38996.54</v>
      </c>
      <c r="H1354" s="11">
        <v>0</v>
      </c>
      <c r="I1354" s="4"/>
      <c r="J1354" s="4"/>
      <c r="K1354" s="11">
        <v>0</v>
      </c>
      <c r="L1354" s="4"/>
      <c r="M1354" s="4"/>
      <c r="N1354" s="11">
        <v>38996.54</v>
      </c>
      <c r="O1354" s="4" t="s">
        <v>56</v>
      </c>
      <c r="P1354" s="4" t="s">
        <v>57</v>
      </c>
      <c r="Q1354" s="11">
        <v>0</v>
      </c>
      <c r="R1354" s="4"/>
      <c r="S1354" s="12"/>
    </row>
    <row r="1355" spans="1:19" x14ac:dyDescent="0.25">
      <c r="A1355" s="9" t="s">
        <v>1097</v>
      </c>
      <c r="B1355" s="9" t="s">
        <v>2537</v>
      </c>
      <c r="C1355" s="4">
        <v>201000521</v>
      </c>
      <c r="D1355" s="4" t="s">
        <v>1102</v>
      </c>
      <c r="E1355" s="4" t="str">
        <f>"016292010"</f>
        <v>016292010</v>
      </c>
      <c r="F1355" s="10">
        <v>40148</v>
      </c>
      <c r="G1355" s="11">
        <v>19825000</v>
      </c>
      <c r="H1355" s="11">
        <v>19825000</v>
      </c>
      <c r="I1355" s="4" t="s">
        <v>98</v>
      </c>
      <c r="J1355" s="4" t="s">
        <v>99</v>
      </c>
      <c r="K1355" s="11">
        <v>0</v>
      </c>
      <c r="L1355" s="4"/>
      <c r="M1355" s="4"/>
      <c r="N1355" s="11">
        <v>0</v>
      </c>
      <c r="O1355" s="4"/>
      <c r="P1355" s="4"/>
      <c r="Q1355" s="11">
        <v>0</v>
      </c>
      <c r="R1355" s="4"/>
      <c r="S1355" s="12"/>
    </row>
    <row r="1356" spans="1:19" x14ac:dyDescent="0.25">
      <c r="A1356" s="9" t="s">
        <v>1097</v>
      </c>
      <c r="B1356" s="9" t="s">
        <v>291</v>
      </c>
      <c r="C1356" s="4">
        <v>201000585</v>
      </c>
      <c r="D1356" s="4"/>
      <c r="E1356" s="4" t="str">
        <f>"011012010"</f>
        <v>011012010</v>
      </c>
      <c r="F1356" s="10">
        <v>40129</v>
      </c>
      <c r="G1356" s="11">
        <v>2919.27</v>
      </c>
      <c r="H1356" s="11">
        <v>0</v>
      </c>
      <c r="I1356" s="4"/>
      <c r="J1356" s="4"/>
      <c r="K1356" s="11">
        <v>2919.27</v>
      </c>
      <c r="L1356" s="4" t="s">
        <v>803</v>
      </c>
      <c r="M1356" s="4" t="s">
        <v>804</v>
      </c>
      <c r="N1356" s="11">
        <v>0</v>
      </c>
      <c r="O1356" s="4"/>
      <c r="P1356" s="4"/>
      <c r="Q1356" s="11">
        <v>0</v>
      </c>
      <c r="R1356" s="4"/>
      <c r="S1356" s="12"/>
    </row>
    <row r="1357" spans="1:19" x14ac:dyDescent="0.25">
      <c r="A1357" s="9" t="s">
        <v>1097</v>
      </c>
      <c r="B1357" s="9" t="s">
        <v>291</v>
      </c>
      <c r="C1357" s="4">
        <v>201000808</v>
      </c>
      <c r="D1357" s="4" t="s">
        <v>1103</v>
      </c>
      <c r="E1357" s="4" t="str">
        <f>"015902010"</f>
        <v>015902010</v>
      </c>
      <c r="F1357" s="10">
        <v>40148</v>
      </c>
      <c r="G1357" s="11">
        <v>2384</v>
      </c>
      <c r="H1357" s="11">
        <v>2384</v>
      </c>
      <c r="I1357" s="4" t="s">
        <v>23</v>
      </c>
      <c r="J1357" s="4" t="s">
        <v>24</v>
      </c>
      <c r="K1357" s="11">
        <v>0</v>
      </c>
      <c r="L1357" s="4"/>
      <c r="M1357" s="4"/>
      <c r="N1357" s="11">
        <v>0</v>
      </c>
      <c r="O1357" s="4"/>
      <c r="P1357" s="4"/>
      <c r="Q1357" s="11">
        <v>0</v>
      </c>
      <c r="R1357" s="4"/>
      <c r="S1357" s="12"/>
    </row>
    <row r="1358" spans="1:19" x14ac:dyDescent="0.25">
      <c r="A1358" s="9" t="s">
        <v>1097</v>
      </c>
      <c r="B1358" s="9" t="s">
        <v>291</v>
      </c>
      <c r="C1358" s="4">
        <v>201001824</v>
      </c>
      <c r="D1358" s="4" t="s">
        <v>1104</v>
      </c>
      <c r="E1358" s="4" t="str">
        <f>"036962010"</f>
        <v>036962010</v>
      </c>
      <c r="F1358" s="10">
        <v>40214</v>
      </c>
      <c r="G1358" s="11">
        <v>20000</v>
      </c>
      <c r="H1358" s="11">
        <v>20000</v>
      </c>
      <c r="I1358" s="4" t="s">
        <v>23</v>
      </c>
      <c r="J1358" s="4" t="s">
        <v>24</v>
      </c>
      <c r="K1358" s="11">
        <v>0</v>
      </c>
      <c r="L1358" s="4"/>
      <c r="M1358" s="4"/>
      <c r="N1358" s="11">
        <v>0</v>
      </c>
      <c r="O1358" s="4"/>
      <c r="P1358" s="4"/>
      <c r="Q1358" s="11">
        <v>0</v>
      </c>
      <c r="R1358" s="4"/>
      <c r="S1358" s="12"/>
    </row>
    <row r="1359" spans="1:19" x14ac:dyDescent="0.25">
      <c r="A1359" s="9" t="s">
        <v>1097</v>
      </c>
      <c r="B1359" s="9" t="s">
        <v>291</v>
      </c>
      <c r="C1359" s="4">
        <v>201004285</v>
      </c>
      <c r="D1359" s="4" t="s">
        <v>2534</v>
      </c>
      <c r="E1359" s="4" t="str">
        <f>"084882010"</f>
        <v>084882010</v>
      </c>
      <c r="F1359" s="10">
        <v>40357</v>
      </c>
      <c r="G1359" s="11">
        <v>51000</v>
      </c>
      <c r="H1359" s="11">
        <v>0</v>
      </c>
      <c r="I1359" s="4"/>
      <c r="J1359" s="4"/>
      <c r="K1359" s="11">
        <v>51000</v>
      </c>
      <c r="L1359" s="4" t="s">
        <v>30</v>
      </c>
      <c r="M1359" s="4" t="s">
        <v>31</v>
      </c>
      <c r="N1359" s="11">
        <v>0</v>
      </c>
      <c r="O1359" s="4"/>
      <c r="P1359" s="4"/>
      <c r="Q1359" s="11">
        <v>0</v>
      </c>
      <c r="R1359" s="4"/>
      <c r="S1359" s="12"/>
    </row>
    <row r="1360" spans="1:19" x14ac:dyDescent="0.25">
      <c r="A1360" s="9" t="s">
        <v>1097</v>
      </c>
      <c r="B1360" s="9" t="s">
        <v>291</v>
      </c>
      <c r="C1360" s="4">
        <v>201004285</v>
      </c>
      <c r="D1360" s="4" t="s">
        <v>2534</v>
      </c>
      <c r="E1360" s="4" t="str">
        <f>"084902010"</f>
        <v>084902010</v>
      </c>
      <c r="F1360" s="10">
        <v>40357</v>
      </c>
      <c r="G1360" s="11">
        <v>9000</v>
      </c>
      <c r="H1360" s="11">
        <v>0</v>
      </c>
      <c r="I1360" s="4"/>
      <c r="J1360" s="4"/>
      <c r="K1360" s="11">
        <v>9000</v>
      </c>
      <c r="L1360" s="4" t="s">
        <v>30</v>
      </c>
      <c r="M1360" s="4" t="s">
        <v>31</v>
      </c>
      <c r="N1360" s="11">
        <v>0</v>
      </c>
      <c r="O1360" s="4"/>
      <c r="P1360" s="4"/>
      <c r="Q1360" s="11">
        <v>0</v>
      </c>
      <c r="R1360" s="4"/>
      <c r="S1360" s="12"/>
    </row>
    <row r="1361" spans="1:19" x14ac:dyDescent="0.25">
      <c r="A1361" s="9" t="s">
        <v>1097</v>
      </c>
      <c r="B1361" s="9" t="s">
        <v>291</v>
      </c>
      <c r="C1361" s="4">
        <v>201004285</v>
      </c>
      <c r="D1361" s="4" t="s">
        <v>1105</v>
      </c>
      <c r="E1361" s="4" t="str">
        <f>"084862010"</f>
        <v>084862010</v>
      </c>
      <c r="F1361" s="10">
        <v>40357</v>
      </c>
      <c r="G1361" s="11">
        <v>65000</v>
      </c>
      <c r="H1361" s="11">
        <v>65000</v>
      </c>
      <c r="I1361" s="4" t="s">
        <v>30</v>
      </c>
      <c r="J1361" s="4" t="s">
        <v>31</v>
      </c>
      <c r="K1361" s="11">
        <v>0</v>
      </c>
      <c r="L1361" s="4"/>
      <c r="M1361" s="4"/>
      <c r="N1361" s="11">
        <v>0</v>
      </c>
      <c r="O1361" s="4"/>
      <c r="P1361" s="4"/>
      <c r="Q1361" s="11">
        <v>0</v>
      </c>
      <c r="R1361" s="4"/>
      <c r="S1361" s="12"/>
    </row>
    <row r="1362" spans="1:19" x14ac:dyDescent="0.25">
      <c r="A1362" s="9" t="s">
        <v>1106</v>
      </c>
      <c r="B1362" s="9" t="s">
        <v>291</v>
      </c>
      <c r="C1362" s="4">
        <v>201003750</v>
      </c>
      <c r="D1362" s="4"/>
      <c r="E1362" s="4" t="str">
        <f>"074622010"</f>
        <v>074622010</v>
      </c>
      <c r="F1362" s="10">
        <v>40332</v>
      </c>
      <c r="G1362" s="11">
        <v>18000</v>
      </c>
      <c r="H1362" s="11">
        <v>18000</v>
      </c>
      <c r="I1362" s="4" t="s">
        <v>38</v>
      </c>
      <c r="J1362" s="4" t="s">
        <v>39</v>
      </c>
      <c r="K1362" s="11">
        <v>0</v>
      </c>
      <c r="L1362" s="4"/>
      <c r="M1362" s="4"/>
      <c r="N1362" s="11">
        <v>0</v>
      </c>
      <c r="O1362" s="4"/>
      <c r="P1362" s="4"/>
      <c r="Q1362" s="11">
        <v>0</v>
      </c>
      <c r="R1362" s="4"/>
      <c r="S1362" s="12"/>
    </row>
    <row r="1363" spans="1:19" x14ac:dyDescent="0.25">
      <c r="A1363" s="9" t="s">
        <v>1107</v>
      </c>
      <c r="B1363" s="9" t="s">
        <v>291</v>
      </c>
      <c r="C1363" s="4">
        <v>201004077</v>
      </c>
      <c r="D1363" s="4" t="s">
        <v>1108</v>
      </c>
      <c r="E1363" s="4" t="str">
        <f>"083582010"</f>
        <v>083582010</v>
      </c>
      <c r="F1363" s="10">
        <v>40352</v>
      </c>
      <c r="G1363" s="11">
        <v>428.64</v>
      </c>
      <c r="H1363" s="11">
        <v>0</v>
      </c>
      <c r="I1363" s="4"/>
      <c r="J1363" s="4"/>
      <c r="K1363" s="11">
        <v>0</v>
      </c>
      <c r="L1363" s="4"/>
      <c r="M1363" s="4"/>
      <c r="N1363" s="11">
        <v>428.64</v>
      </c>
      <c r="O1363" s="4" t="s">
        <v>56</v>
      </c>
      <c r="P1363" s="4" t="s">
        <v>57</v>
      </c>
      <c r="Q1363" s="11">
        <v>0</v>
      </c>
      <c r="R1363" s="4"/>
      <c r="S1363" s="12"/>
    </row>
    <row r="1364" spans="1:19" x14ac:dyDescent="0.25">
      <c r="A1364" s="9" t="s">
        <v>1109</v>
      </c>
      <c r="B1364" s="9" t="s">
        <v>291</v>
      </c>
      <c r="C1364" s="4">
        <v>201002853</v>
      </c>
      <c r="D1364" s="4" t="s">
        <v>1110</v>
      </c>
      <c r="E1364" s="4" t="str">
        <f>"055992010"</f>
        <v>055992010</v>
      </c>
      <c r="F1364" s="10">
        <v>40275</v>
      </c>
      <c r="G1364" s="11">
        <v>291650</v>
      </c>
      <c r="H1364" s="11">
        <v>291650</v>
      </c>
      <c r="I1364" s="4" t="s">
        <v>23</v>
      </c>
      <c r="J1364" s="4" t="s">
        <v>24</v>
      </c>
      <c r="K1364" s="11">
        <v>0</v>
      </c>
      <c r="L1364" s="4"/>
      <c r="M1364" s="4"/>
      <c r="N1364" s="11">
        <v>0</v>
      </c>
      <c r="O1364" s="4"/>
      <c r="P1364" s="4"/>
      <c r="Q1364" s="11">
        <v>0</v>
      </c>
      <c r="R1364" s="4"/>
      <c r="S1364" s="12"/>
    </row>
    <row r="1365" spans="1:19" x14ac:dyDescent="0.25">
      <c r="A1365" s="9" t="s">
        <v>1109</v>
      </c>
      <c r="B1365" s="9" t="s">
        <v>291</v>
      </c>
      <c r="C1365" s="4">
        <v>201003934</v>
      </c>
      <c r="D1365" s="4" t="s">
        <v>1111</v>
      </c>
      <c r="E1365" s="4" t="str">
        <f>"079282010"</f>
        <v>079282010</v>
      </c>
      <c r="F1365" s="10">
        <v>40344</v>
      </c>
      <c r="G1365" s="11">
        <v>69000</v>
      </c>
      <c r="H1365" s="11">
        <v>69000</v>
      </c>
      <c r="I1365" s="4" t="s">
        <v>23</v>
      </c>
      <c r="J1365" s="4" t="s">
        <v>24</v>
      </c>
      <c r="K1365" s="11">
        <v>0</v>
      </c>
      <c r="L1365" s="4"/>
      <c r="M1365" s="4"/>
      <c r="N1365" s="11">
        <v>0</v>
      </c>
      <c r="O1365" s="4"/>
      <c r="P1365" s="4"/>
      <c r="Q1365" s="11">
        <v>0</v>
      </c>
      <c r="R1365" s="4"/>
      <c r="S1365" s="12"/>
    </row>
    <row r="1366" spans="1:19" x14ac:dyDescent="0.25">
      <c r="A1366" s="9" t="s">
        <v>1109</v>
      </c>
      <c r="B1366" s="9" t="s">
        <v>291</v>
      </c>
      <c r="C1366" s="4">
        <v>201004118</v>
      </c>
      <c r="D1366" s="4" t="s">
        <v>1112</v>
      </c>
      <c r="E1366" s="4" t="str">
        <f>"092022010"</f>
        <v>092022010</v>
      </c>
      <c r="F1366" s="10">
        <v>40373</v>
      </c>
      <c r="G1366" s="11">
        <v>24839.23</v>
      </c>
      <c r="H1366" s="11">
        <v>24839.23</v>
      </c>
      <c r="I1366" s="4" t="s">
        <v>23</v>
      </c>
      <c r="J1366" s="4" t="s">
        <v>24</v>
      </c>
      <c r="K1366" s="11">
        <v>0</v>
      </c>
      <c r="L1366" s="4"/>
      <c r="M1366" s="4"/>
      <c r="N1366" s="11">
        <v>0</v>
      </c>
      <c r="O1366" s="4"/>
      <c r="P1366" s="4"/>
      <c r="Q1366" s="11">
        <v>0</v>
      </c>
      <c r="R1366" s="4"/>
      <c r="S1366" s="12"/>
    </row>
    <row r="1367" spans="1:19" x14ac:dyDescent="0.25">
      <c r="A1367" s="9" t="s">
        <v>1113</v>
      </c>
      <c r="B1367" s="9" t="s">
        <v>291</v>
      </c>
      <c r="C1367" s="4">
        <v>201000950</v>
      </c>
      <c r="D1367" s="4"/>
      <c r="E1367" s="4" t="str">
        <f>"022712010"</f>
        <v>022712010</v>
      </c>
      <c r="F1367" s="10">
        <v>40164</v>
      </c>
      <c r="G1367" s="11">
        <v>28057.75</v>
      </c>
      <c r="H1367" s="11">
        <v>28057.75</v>
      </c>
      <c r="I1367" s="4" t="s">
        <v>30</v>
      </c>
      <c r="J1367" s="4" t="s">
        <v>31</v>
      </c>
      <c r="K1367" s="11">
        <v>0</v>
      </c>
      <c r="L1367" s="4"/>
      <c r="M1367" s="4"/>
      <c r="N1367" s="11">
        <v>0</v>
      </c>
      <c r="O1367" s="4"/>
      <c r="P1367" s="4"/>
      <c r="Q1367" s="11">
        <v>0</v>
      </c>
      <c r="R1367" s="4"/>
      <c r="S1367" s="12"/>
    </row>
    <row r="1368" spans="1:19" x14ac:dyDescent="0.25">
      <c r="A1368" s="9" t="s">
        <v>1113</v>
      </c>
      <c r="B1368" s="9" t="s">
        <v>291</v>
      </c>
      <c r="C1368" s="4">
        <v>201005677</v>
      </c>
      <c r="D1368" s="4"/>
      <c r="E1368" s="4" t="str">
        <f>"115192010"</f>
        <v>115192010</v>
      </c>
      <c r="F1368" s="10">
        <v>40450</v>
      </c>
      <c r="G1368" s="11">
        <v>100000</v>
      </c>
      <c r="H1368" s="11">
        <v>100000</v>
      </c>
      <c r="I1368" s="4" t="s">
        <v>30</v>
      </c>
      <c r="J1368" s="4" t="s">
        <v>31</v>
      </c>
      <c r="K1368" s="11">
        <v>0</v>
      </c>
      <c r="L1368" s="4"/>
      <c r="M1368" s="4"/>
      <c r="N1368" s="11">
        <v>0</v>
      </c>
      <c r="O1368" s="4"/>
      <c r="P1368" s="4"/>
      <c r="Q1368" s="11">
        <v>0</v>
      </c>
      <c r="R1368" s="4"/>
      <c r="S1368" s="12"/>
    </row>
    <row r="1369" spans="1:19" x14ac:dyDescent="0.25">
      <c r="A1369" s="9" t="s">
        <v>1114</v>
      </c>
      <c r="B1369" s="9" t="s">
        <v>291</v>
      </c>
      <c r="C1369" s="4">
        <v>201000647</v>
      </c>
      <c r="D1369" s="4" t="s">
        <v>1115</v>
      </c>
      <c r="E1369" s="4" t="str">
        <f>"012972010"</f>
        <v>012972010</v>
      </c>
      <c r="F1369" s="10">
        <v>40136</v>
      </c>
      <c r="G1369" s="11">
        <v>3699</v>
      </c>
      <c r="H1369" s="11">
        <v>3699</v>
      </c>
      <c r="I1369" s="4" t="s">
        <v>104</v>
      </c>
      <c r="J1369" s="4" t="s">
        <v>105</v>
      </c>
      <c r="K1369" s="11">
        <v>0</v>
      </c>
      <c r="L1369" s="4"/>
      <c r="M1369" s="4"/>
      <c r="N1369" s="11">
        <v>0</v>
      </c>
      <c r="O1369" s="4"/>
      <c r="P1369" s="4"/>
      <c r="Q1369" s="11">
        <v>0</v>
      </c>
      <c r="R1369" s="4"/>
      <c r="S1369" s="12"/>
    </row>
    <row r="1370" spans="1:19" x14ac:dyDescent="0.25">
      <c r="A1370" s="9" t="s">
        <v>1114</v>
      </c>
      <c r="B1370" s="9" t="s">
        <v>291</v>
      </c>
      <c r="C1370" s="4">
        <v>201001974</v>
      </c>
      <c r="D1370" s="4" t="s">
        <v>1115</v>
      </c>
      <c r="E1370" s="4" t="str">
        <f>"039902010"</f>
        <v>039902010</v>
      </c>
      <c r="F1370" s="10">
        <v>40232</v>
      </c>
      <c r="G1370" s="11">
        <v>320000</v>
      </c>
      <c r="H1370" s="11">
        <v>320000</v>
      </c>
      <c r="I1370" s="4" t="s">
        <v>104</v>
      </c>
      <c r="J1370" s="4" t="s">
        <v>105</v>
      </c>
      <c r="K1370" s="11">
        <v>0</v>
      </c>
      <c r="L1370" s="4"/>
      <c r="M1370" s="4"/>
      <c r="N1370" s="11">
        <v>0</v>
      </c>
      <c r="O1370" s="4"/>
      <c r="P1370" s="4"/>
      <c r="Q1370" s="11">
        <v>0</v>
      </c>
      <c r="R1370" s="4"/>
      <c r="S1370" s="12"/>
    </row>
    <row r="1371" spans="1:19" x14ac:dyDescent="0.25">
      <c r="A1371" s="9" t="s">
        <v>1114</v>
      </c>
      <c r="B1371" s="9" t="s">
        <v>291</v>
      </c>
      <c r="C1371" s="4">
        <v>201003597</v>
      </c>
      <c r="D1371" s="4" t="s">
        <v>1116</v>
      </c>
      <c r="E1371" s="4" t="str">
        <f>"071252010"</f>
        <v>071252010</v>
      </c>
      <c r="F1371" s="10">
        <v>40318</v>
      </c>
      <c r="G1371" s="11">
        <v>14750</v>
      </c>
      <c r="H1371" s="11">
        <v>14750</v>
      </c>
      <c r="I1371" s="4" t="s">
        <v>30</v>
      </c>
      <c r="J1371" s="4" t="s">
        <v>31</v>
      </c>
      <c r="K1371" s="11">
        <v>0</v>
      </c>
      <c r="L1371" s="4"/>
      <c r="M1371" s="4"/>
      <c r="N1371" s="11">
        <v>0</v>
      </c>
      <c r="O1371" s="4"/>
      <c r="P1371" s="4"/>
      <c r="Q1371" s="11">
        <v>0</v>
      </c>
      <c r="R1371" s="4"/>
      <c r="S1371" s="12"/>
    </row>
    <row r="1372" spans="1:19" x14ac:dyDescent="0.25">
      <c r="A1372" s="9" t="s">
        <v>1117</v>
      </c>
      <c r="B1372" s="9" t="s">
        <v>1117</v>
      </c>
      <c r="C1372" s="4">
        <v>200803943</v>
      </c>
      <c r="D1372" s="4" t="s">
        <v>1118</v>
      </c>
      <c r="E1372" s="4" t="str">
        <f>"037792008"</f>
        <v>037792008</v>
      </c>
      <c r="F1372" s="10">
        <v>40121</v>
      </c>
      <c r="G1372" s="11">
        <v>350</v>
      </c>
      <c r="H1372" s="11">
        <v>0</v>
      </c>
      <c r="I1372" s="4"/>
      <c r="J1372" s="4"/>
      <c r="K1372" s="11">
        <v>0</v>
      </c>
      <c r="L1372" s="4"/>
      <c r="M1372" s="4"/>
      <c r="N1372" s="11">
        <v>350</v>
      </c>
      <c r="O1372" s="4" t="s">
        <v>56</v>
      </c>
      <c r="P1372" s="4" t="s">
        <v>57</v>
      </c>
      <c r="Q1372" s="11">
        <v>0</v>
      </c>
      <c r="R1372" s="4"/>
      <c r="S1372" s="12"/>
    </row>
    <row r="1373" spans="1:19" x14ac:dyDescent="0.25">
      <c r="A1373" s="9" t="s">
        <v>1117</v>
      </c>
      <c r="B1373" s="9" t="s">
        <v>291</v>
      </c>
      <c r="C1373" s="4">
        <v>200804751</v>
      </c>
      <c r="D1373" s="4" t="s">
        <v>1119</v>
      </c>
      <c r="E1373" s="4" t="str">
        <f>"037812008"</f>
        <v>037812008</v>
      </c>
      <c r="F1373" s="10">
        <v>40149</v>
      </c>
      <c r="G1373" s="11">
        <v>350</v>
      </c>
      <c r="H1373" s="11">
        <v>0</v>
      </c>
      <c r="I1373" s="4"/>
      <c r="J1373" s="4"/>
      <c r="K1373" s="11">
        <v>0</v>
      </c>
      <c r="L1373" s="4"/>
      <c r="M1373" s="4"/>
      <c r="N1373" s="11">
        <v>350</v>
      </c>
      <c r="O1373" s="4" t="s">
        <v>56</v>
      </c>
      <c r="P1373" s="4" t="s">
        <v>57</v>
      </c>
      <c r="Q1373" s="11">
        <v>0</v>
      </c>
      <c r="R1373" s="4"/>
      <c r="S1373" s="12"/>
    </row>
    <row r="1374" spans="1:19" x14ac:dyDescent="0.25">
      <c r="A1374" s="9" t="s">
        <v>1117</v>
      </c>
      <c r="B1374" s="9" t="s">
        <v>291</v>
      </c>
      <c r="C1374" s="4">
        <v>200901682</v>
      </c>
      <c r="D1374" s="4" t="s">
        <v>1120</v>
      </c>
      <c r="E1374" s="4" t="str">
        <f>"088202009"</f>
        <v>088202009</v>
      </c>
      <c r="F1374" s="10">
        <v>40112</v>
      </c>
      <c r="G1374" s="11">
        <v>376.26</v>
      </c>
      <c r="H1374" s="11">
        <v>0</v>
      </c>
      <c r="I1374" s="4"/>
      <c r="J1374" s="4"/>
      <c r="K1374" s="11">
        <v>0</v>
      </c>
      <c r="L1374" s="4"/>
      <c r="M1374" s="4"/>
      <c r="N1374" s="11">
        <v>376.26</v>
      </c>
      <c r="O1374" s="4" t="s">
        <v>56</v>
      </c>
      <c r="P1374" s="4" t="s">
        <v>57</v>
      </c>
      <c r="Q1374" s="11">
        <v>0</v>
      </c>
      <c r="R1374" s="4"/>
      <c r="S1374" s="12"/>
    </row>
    <row r="1375" spans="1:19" x14ac:dyDescent="0.25">
      <c r="A1375" s="9" t="s">
        <v>1117</v>
      </c>
      <c r="B1375" s="9" t="s">
        <v>291</v>
      </c>
      <c r="C1375" s="4">
        <v>200901815</v>
      </c>
      <c r="D1375" s="4" t="s">
        <v>1121</v>
      </c>
      <c r="E1375" s="4" t="str">
        <f>"087542009"</f>
        <v>087542009</v>
      </c>
      <c r="F1375" s="10">
        <v>40092</v>
      </c>
      <c r="G1375" s="11">
        <v>350</v>
      </c>
      <c r="H1375" s="11">
        <v>0</v>
      </c>
      <c r="I1375" s="4"/>
      <c r="J1375" s="4"/>
      <c r="K1375" s="11">
        <v>0</v>
      </c>
      <c r="L1375" s="4"/>
      <c r="M1375" s="4"/>
      <c r="N1375" s="11">
        <v>350</v>
      </c>
      <c r="O1375" s="4" t="s">
        <v>56</v>
      </c>
      <c r="P1375" s="4" t="s">
        <v>57</v>
      </c>
      <c r="Q1375" s="11">
        <v>0</v>
      </c>
      <c r="R1375" s="4"/>
      <c r="S1375" s="12"/>
    </row>
    <row r="1376" spans="1:19" x14ac:dyDescent="0.25">
      <c r="A1376" s="9" t="s">
        <v>1117</v>
      </c>
      <c r="B1376" s="9" t="s">
        <v>291</v>
      </c>
      <c r="C1376" s="4">
        <v>200905604</v>
      </c>
      <c r="D1376" s="4" t="s">
        <v>1122</v>
      </c>
      <c r="E1376" s="4" t="str">
        <f>"088292009"</f>
        <v>088292009</v>
      </c>
      <c r="F1376" s="10">
        <v>40120</v>
      </c>
      <c r="G1376" s="11">
        <v>350</v>
      </c>
      <c r="H1376" s="11">
        <v>0</v>
      </c>
      <c r="I1376" s="4"/>
      <c r="J1376" s="4"/>
      <c r="K1376" s="11">
        <v>0</v>
      </c>
      <c r="L1376" s="4"/>
      <c r="M1376" s="4"/>
      <c r="N1376" s="11">
        <v>350</v>
      </c>
      <c r="O1376" s="4" t="s">
        <v>56</v>
      </c>
      <c r="P1376" s="4" t="s">
        <v>57</v>
      </c>
      <c r="Q1376" s="11">
        <v>0</v>
      </c>
      <c r="R1376" s="4"/>
      <c r="S1376" s="12"/>
    </row>
    <row r="1377" spans="1:19" x14ac:dyDescent="0.25">
      <c r="A1377" s="9" t="s">
        <v>1117</v>
      </c>
      <c r="B1377" s="9" t="s">
        <v>291</v>
      </c>
      <c r="C1377" s="4">
        <v>200905606</v>
      </c>
      <c r="D1377" s="4" t="s">
        <v>1123</v>
      </c>
      <c r="E1377" s="4" t="str">
        <f>"088322009"</f>
        <v>088322009</v>
      </c>
      <c r="F1377" s="10">
        <v>40123</v>
      </c>
      <c r="G1377" s="11">
        <v>35.75</v>
      </c>
      <c r="H1377" s="11">
        <v>0</v>
      </c>
      <c r="I1377" s="4"/>
      <c r="J1377" s="4"/>
      <c r="K1377" s="11">
        <v>0</v>
      </c>
      <c r="L1377" s="4"/>
      <c r="M1377" s="4"/>
      <c r="N1377" s="11">
        <v>35.75</v>
      </c>
      <c r="O1377" s="4" t="s">
        <v>56</v>
      </c>
      <c r="P1377" s="4" t="s">
        <v>57</v>
      </c>
      <c r="Q1377" s="11">
        <v>0</v>
      </c>
      <c r="R1377" s="4"/>
      <c r="S1377" s="12"/>
    </row>
    <row r="1378" spans="1:19" x14ac:dyDescent="0.25">
      <c r="A1378" s="9" t="s">
        <v>1117</v>
      </c>
      <c r="B1378" s="9" t="s">
        <v>291</v>
      </c>
      <c r="C1378" s="4">
        <v>200905607</v>
      </c>
      <c r="D1378" s="4" t="s">
        <v>1123</v>
      </c>
      <c r="E1378" s="4" t="str">
        <f>"088342009"</f>
        <v>088342009</v>
      </c>
      <c r="F1378" s="10">
        <v>40123</v>
      </c>
      <c r="G1378" s="11">
        <v>55.12</v>
      </c>
      <c r="H1378" s="11">
        <v>0</v>
      </c>
      <c r="I1378" s="4"/>
      <c r="J1378" s="4"/>
      <c r="K1378" s="11">
        <v>0</v>
      </c>
      <c r="L1378" s="4"/>
      <c r="M1378" s="4"/>
      <c r="N1378" s="11">
        <v>55.12</v>
      </c>
      <c r="O1378" s="4" t="s">
        <v>56</v>
      </c>
      <c r="P1378" s="4" t="s">
        <v>57</v>
      </c>
      <c r="Q1378" s="11">
        <v>0</v>
      </c>
      <c r="R1378" s="4"/>
      <c r="S1378" s="12"/>
    </row>
    <row r="1379" spans="1:19" x14ac:dyDescent="0.25">
      <c r="A1379" s="9" t="s">
        <v>1117</v>
      </c>
      <c r="B1379" s="9" t="s">
        <v>291</v>
      </c>
      <c r="C1379" s="4">
        <v>200905725</v>
      </c>
      <c r="D1379" s="4" t="s">
        <v>1124</v>
      </c>
      <c r="E1379" s="4" t="str">
        <f>"088432009"</f>
        <v>088432009</v>
      </c>
      <c r="F1379" s="10">
        <v>40149</v>
      </c>
      <c r="G1379" s="11">
        <v>64.98</v>
      </c>
      <c r="H1379" s="11">
        <v>64.98</v>
      </c>
      <c r="I1379" s="4" t="s">
        <v>56</v>
      </c>
      <c r="J1379" s="4" t="s">
        <v>57</v>
      </c>
      <c r="K1379" s="11">
        <v>0</v>
      </c>
      <c r="L1379" s="4"/>
      <c r="M1379" s="4"/>
      <c r="N1379" s="11">
        <v>0</v>
      </c>
      <c r="O1379" s="4"/>
      <c r="P1379" s="4"/>
      <c r="Q1379" s="11">
        <v>0</v>
      </c>
      <c r="R1379" s="4"/>
      <c r="S1379" s="12"/>
    </row>
    <row r="1380" spans="1:19" x14ac:dyDescent="0.25">
      <c r="A1380" s="9" t="s">
        <v>1117</v>
      </c>
      <c r="B1380" s="9" t="s">
        <v>291</v>
      </c>
      <c r="C1380" s="4">
        <v>200905855</v>
      </c>
      <c r="D1380" s="4" t="s">
        <v>1125</v>
      </c>
      <c r="E1380" s="4" t="str">
        <f>"088022009"</f>
        <v>088022009</v>
      </c>
      <c r="F1380" s="10">
        <v>40095</v>
      </c>
      <c r="G1380" s="11">
        <v>350</v>
      </c>
      <c r="H1380" s="11">
        <v>0</v>
      </c>
      <c r="I1380" s="4"/>
      <c r="J1380" s="4"/>
      <c r="K1380" s="11">
        <v>0</v>
      </c>
      <c r="L1380" s="4"/>
      <c r="M1380" s="4"/>
      <c r="N1380" s="11">
        <v>350</v>
      </c>
      <c r="O1380" s="4" t="s">
        <v>56</v>
      </c>
      <c r="P1380" s="4" t="s">
        <v>57</v>
      </c>
      <c r="Q1380" s="11">
        <v>0</v>
      </c>
      <c r="R1380" s="4"/>
      <c r="S1380" s="12"/>
    </row>
    <row r="1381" spans="1:19" x14ac:dyDescent="0.25">
      <c r="A1381" s="9" t="s">
        <v>1117</v>
      </c>
      <c r="B1381" s="9" t="s">
        <v>291</v>
      </c>
      <c r="C1381" s="4">
        <v>200905860</v>
      </c>
      <c r="D1381" s="4" t="s">
        <v>1126</v>
      </c>
      <c r="E1381" s="4" t="str">
        <f>"088392009"</f>
        <v>088392009</v>
      </c>
      <c r="F1381" s="10">
        <v>40137</v>
      </c>
      <c r="G1381" s="11">
        <v>350</v>
      </c>
      <c r="H1381" s="11">
        <v>0</v>
      </c>
      <c r="I1381" s="4"/>
      <c r="J1381" s="4"/>
      <c r="K1381" s="11">
        <v>0</v>
      </c>
      <c r="L1381" s="4"/>
      <c r="M1381" s="4"/>
      <c r="N1381" s="11">
        <v>350</v>
      </c>
      <c r="O1381" s="4" t="s">
        <v>56</v>
      </c>
      <c r="P1381" s="4" t="s">
        <v>57</v>
      </c>
      <c r="Q1381" s="11">
        <v>0</v>
      </c>
      <c r="R1381" s="4"/>
      <c r="S1381" s="12"/>
    </row>
    <row r="1382" spans="1:19" x14ac:dyDescent="0.25">
      <c r="A1382" s="9" t="s">
        <v>1117</v>
      </c>
      <c r="B1382" s="9" t="s">
        <v>291</v>
      </c>
      <c r="C1382" s="4">
        <v>200905862</v>
      </c>
      <c r="D1382" s="4" t="s">
        <v>1127</v>
      </c>
      <c r="E1382" s="4" t="str">
        <f>"088412009"</f>
        <v>088412009</v>
      </c>
      <c r="F1382" s="10">
        <v>40142</v>
      </c>
      <c r="G1382" s="11">
        <v>51.96</v>
      </c>
      <c r="H1382" s="11">
        <v>0</v>
      </c>
      <c r="I1382" s="4"/>
      <c r="J1382" s="4"/>
      <c r="K1382" s="11">
        <v>0</v>
      </c>
      <c r="L1382" s="4"/>
      <c r="M1382" s="4"/>
      <c r="N1382" s="11">
        <v>51.96</v>
      </c>
      <c r="O1382" s="4" t="s">
        <v>56</v>
      </c>
      <c r="P1382" s="4" t="s">
        <v>57</v>
      </c>
      <c r="Q1382" s="11">
        <v>0</v>
      </c>
      <c r="R1382" s="4"/>
      <c r="S1382" s="12"/>
    </row>
    <row r="1383" spans="1:19" x14ac:dyDescent="0.25">
      <c r="A1383" s="9" t="s">
        <v>1117</v>
      </c>
      <c r="B1383" s="9" t="s">
        <v>1117</v>
      </c>
      <c r="C1383" s="4">
        <v>200905868</v>
      </c>
      <c r="D1383" s="4" t="s">
        <v>1128</v>
      </c>
      <c r="E1383" s="4" t="str">
        <f>"086592009"</f>
        <v>086592009</v>
      </c>
      <c r="F1383" s="10">
        <v>40092</v>
      </c>
      <c r="G1383" s="11">
        <v>350</v>
      </c>
      <c r="H1383" s="11">
        <v>0</v>
      </c>
      <c r="I1383" s="4"/>
      <c r="J1383" s="4"/>
      <c r="K1383" s="11">
        <v>0</v>
      </c>
      <c r="L1383" s="4"/>
      <c r="M1383" s="4"/>
      <c r="N1383" s="11">
        <v>350</v>
      </c>
      <c r="O1383" s="4" t="s">
        <v>56</v>
      </c>
      <c r="P1383" s="4" t="s">
        <v>57</v>
      </c>
      <c r="Q1383" s="11">
        <v>0</v>
      </c>
      <c r="R1383" s="4"/>
      <c r="S1383" s="12"/>
    </row>
    <row r="1384" spans="1:19" x14ac:dyDescent="0.25">
      <c r="A1384" s="9" t="s">
        <v>1117</v>
      </c>
      <c r="B1384" s="9" t="s">
        <v>1117</v>
      </c>
      <c r="C1384" s="4">
        <v>200905869</v>
      </c>
      <c r="D1384" s="4" t="s">
        <v>1129</v>
      </c>
      <c r="E1384" s="4" t="str">
        <f>"086612009"</f>
        <v>086612009</v>
      </c>
      <c r="F1384" s="10">
        <v>40092</v>
      </c>
      <c r="G1384" s="11">
        <v>350</v>
      </c>
      <c r="H1384" s="11">
        <v>0</v>
      </c>
      <c r="I1384" s="4"/>
      <c r="J1384" s="4"/>
      <c r="K1384" s="11">
        <v>0</v>
      </c>
      <c r="L1384" s="4"/>
      <c r="M1384" s="4"/>
      <c r="N1384" s="11">
        <v>350</v>
      </c>
      <c r="O1384" s="4" t="s">
        <v>56</v>
      </c>
      <c r="P1384" s="4" t="s">
        <v>57</v>
      </c>
      <c r="Q1384" s="11">
        <v>0</v>
      </c>
      <c r="R1384" s="4"/>
      <c r="S1384" s="12"/>
    </row>
    <row r="1385" spans="1:19" x14ac:dyDescent="0.25">
      <c r="A1385" s="9" t="s">
        <v>1117</v>
      </c>
      <c r="B1385" s="9" t="s">
        <v>1117</v>
      </c>
      <c r="C1385" s="4">
        <v>200905870</v>
      </c>
      <c r="D1385" s="4" t="s">
        <v>1130</v>
      </c>
      <c r="E1385" s="4" t="str">
        <f>"086632009"</f>
        <v>086632009</v>
      </c>
      <c r="F1385" s="10">
        <v>40092</v>
      </c>
      <c r="G1385" s="11">
        <v>20</v>
      </c>
      <c r="H1385" s="11">
        <v>0</v>
      </c>
      <c r="I1385" s="4"/>
      <c r="J1385" s="4"/>
      <c r="K1385" s="11">
        <v>0</v>
      </c>
      <c r="L1385" s="4"/>
      <c r="M1385" s="4"/>
      <c r="N1385" s="11">
        <v>20</v>
      </c>
      <c r="O1385" s="4" t="s">
        <v>56</v>
      </c>
      <c r="P1385" s="4" t="s">
        <v>57</v>
      </c>
      <c r="Q1385" s="11">
        <v>0</v>
      </c>
      <c r="R1385" s="4"/>
      <c r="S1385" s="12"/>
    </row>
    <row r="1386" spans="1:19" x14ac:dyDescent="0.25">
      <c r="A1386" s="9" t="s">
        <v>1117</v>
      </c>
      <c r="B1386" s="9" t="s">
        <v>1117</v>
      </c>
      <c r="C1386" s="4">
        <v>200905871</v>
      </c>
      <c r="D1386" s="4" t="s">
        <v>1131</v>
      </c>
      <c r="E1386" s="4" t="str">
        <f>"086652009"</f>
        <v>086652009</v>
      </c>
      <c r="F1386" s="10">
        <v>40092</v>
      </c>
      <c r="G1386" s="11">
        <v>350</v>
      </c>
      <c r="H1386" s="11">
        <v>0</v>
      </c>
      <c r="I1386" s="4"/>
      <c r="J1386" s="4"/>
      <c r="K1386" s="11">
        <v>0</v>
      </c>
      <c r="L1386" s="4"/>
      <c r="M1386" s="4"/>
      <c r="N1386" s="11">
        <v>350</v>
      </c>
      <c r="O1386" s="4" t="s">
        <v>56</v>
      </c>
      <c r="P1386" s="4" t="s">
        <v>57</v>
      </c>
      <c r="Q1386" s="11">
        <v>0</v>
      </c>
      <c r="R1386" s="4"/>
      <c r="S1386" s="12"/>
    </row>
    <row r="1387" spans="1:19" x14ac:dyDescent="0.25">
      <c r="A1387" s="9" t="s">
        <v>1117</v>
      </c>
      <c r="B1387" s="9" t="s">
        <v>291</v>
      </c>
      <c r="C1387" s="4">
        <v>200905908</v>
      </c>
      <c r="D1387" s="4" t="s">
        <v>1132</v>
      </c>
      <c r="E1387" s="4" t="str">
        <f>"086912009"</f>
        <v>086912009</v>
      </c>
      <c r="F1387" s="10">
        <v>40092</v>
      </c>
      <c r="G1387" s="11">
        <v>370</v>
      </c>
      <c r="H1387" s="11">
        <v>0</v>
      </c>
      <c r="I1387" s="4"/>
      <c r="J1387" s="4"/>
      <c r="K1387" s="11">
        <v>0</v>
      </c>
      <c r="L1387" s="4"/>
      <c r="M1387" s="4"/>
      <c r="N1387" s="11">
        <v>370</v>
      </c>
      <c r="O1387" s="4" t="s">
        <v>308</v>
      </c>
      <c r="P1387" s="4" t="s">
        <v>309</v>
      </c>
      <c r="Q1387" s="11">
        <v>0</v>
      </c>
      <c r="R1387" s="4"/>
      <c r="S1387" s="12"/>
    </row>
    <row r="1388" spans="1:19" x14ac:dyDescent="0.25">
      <c r="A1388" s="9" t="s">
        <v>1117</v>
      </c>
      <c r="B1388" s="9" t="s">
        <v>291</v>
      </c>
      <c r="C1388" s="4">
        <v>200905911</v>
      </c>
      <c r="D1388" s="4"/>
      <c r="E1388" s="4" t="str">
        <f>"086752009"</f>
        <v>086752009</v>
      </c>
      <c r="F1388" s="10">
        <v>40091</v>
      </c>
      <c r="G1388" s="11">
        <v>410.6</v>
      </c>
      <c r="H1388" s="11">
        <v>0</v>
      </c>
      <c r="I1388" s="4"/>
      <c r="J1388" s="4"/>
      <c r="K1388" s="11">
        <v>0</v>
      </c>
      <c r="L1388" s="4"/>
      <c r="M1388" s="4"/>
      <c r="N1388" s="11">
        <v>410.6</v>
      </c>
      <c r="O1388" s="4" t="s">
        <v>308</v>
      </c>
      <c r="P1388" s="4" t="s">
        <v>309</v>
      </c>
      <c r="Q1388" s="11">
        <v>0</v>
      </c>
      <c r="R1388" s="4"/>
      <c r="S1388" s="12"/>
    </row>
    <row r="1389" spans="1:19" x14ac:dyDescent="0.25">
      <c r="A1389" s="9" t="s">
        <v>1117</v>
      </c>
      <c r="B1389" s="9" t="s">
        <v>291</v>
      </c>
      <c r="C1389" s="4">
        <v>200905929</v>
      </c>
      <c r="D1389" s="4" t="s">
        <v>1133</v>
      </c>
      <c r="E1389" s="4" t="str">
        <f>"086832009"</f>
        <v>086832009</v>
      </c>
      <c r="F1389" s="10">
        <v>40091</v>
      </c>
      <c r="G1389" s="11">
        <v>16.13</v>
      </c>
      <c r="H1389" s="11">
        <v>0</v>
      </c>
      <c r="I1389" s="4"/>
      <c r="J1389" s="4"/>
      <c r="K1389" s="11">
        <v>0</v>
      </c>
      <c r="L1389" s="4"/>
      <c r="M1389" s="4"/>
      <c r="N1389" s="11">
        <v>16.13</v>
      </c>
      <c r="O1389" s="4" t="s">
        <v>56</v>
      </c>
      <c r="P1389" s="4" t="s">
        <v>57</v>
      </c>
      <c r="Q1389" s="11">
        <v>0</v>
      </c>
      <c r="R1389" s="4"/>
      <c r="S1389" s="12"/>
    </row>
    <row r="1390" spans="1:19" x14ac:dyDescent="0.25">
      <c r="A1390" s="9" t="s">
        <v>1117</v>
      </c>
      <c r="B1390" s="9" t="s">
        <v>291</v>
      </c>
      <c r="C1390" s="4">
        <v>200905947</v>
      </c>
      <c r="D1390" s="4" t="s">
        <v>1134</v>
      </c>
      <c r="E1390" s="4" t="str">
        <f>"087342009"</f>
        <v>087342009</v>
      </c>
      <c r="F1390" s="10">
        <v>40094</v>
      </c>
      <c r="G1390" s="11">
        <v>350</v>
      </c>
      <c r="H1390" s="11">
        <v>0</v>
      </c>
      <c r="I1390" s="4"/>
      <c r="J1390" s="4"/>
      <c r="K1390" s="11">
        <v>0</v>
      </c>
      <c r="L1390" s="4"/>
      <c r="M1390" s="4"/>
      <c r="N1390" s="11">
        <v>350</v>
      </c>
      <c r="O1390" s="4" t="s">
        <v>56</v>
      </c>
      <c r="P1390" s="4" t="s">
        <v>57</v>
      </c>
      <c r="Q1390" s="11">
        <v>0</v>
      </c>
      <c r="R1390" s="4"/>
      <c r="S1390" s="12"/>
    </row>
    <row r="1391" spans="1:19" x14ac:dyDescent="0.25">
      <c r="A1391" s="9" t="s">
        <v>1117</v>
      </c>
      <c r="B1391" s="9" t="s">
        <v>291</v>
      </c>
      <c r="C1391" s="4">
        <v>201000004</v>
      </c>
      <c r="D1391" s="4" t="s">
        <v>1135</v>
      </c>
      <c r="E1391" s="4" t="str">
        <f>"000882010"</f>
        <v>000882010</v>
      </c>
      <c r="F1391" s="10">
        <v>40094</v>
      </c>
      <c r="G1391" s="11">
        <v>5000</v>
      </c>
      <c r="H1391" s="11">
        <v>5000</v>
      </c>
      <c r="I1391" s="4" t="s">
        <v>30</v>
      </c>
      <c r="J1391" s="4" t="s">
        <v>31</v>
      </c>
      <c r="K1391" s="11">
        <v>0</v>
      </c>
      <c r="L1391" s="4"/>
      <c r="M1391" s="4"/>
      <c r="N1391" s="11">
        <v>0</v>
      </c>
      <c r="O1391" s="4"/>
      <c r="P1391" s="4"/>
      <c r="Q1391" s="11">
        <v>0</v>
      </c>
      <c r="R1391" s="4"/>
      <c r="S1391" s="12"/>
    </row>
    <row r="1392" spans="1:19" x14ac:dyDescent="0.25">
      <c r="A1392" s="9" t="s">
        <v>1117</v>
      </c>
      <c r="B1392" s="9" t="s">
        <v>291</v>
      </c>
      <c r="C1392" s="4">
        <v>201000006</v>
      </c>
      <c r="D1392" s="4" t="s">
        <v>1136</v>
      </c>
      <c r="E1392" s="4" t="str">
        <f>"000162010"</f>
        <v>000162010</v>
      </c>
      <c r="F1392" s="10">
        <v>40092</v>
      </c>
      <c r="G1392" s="11">
        <v>350</v>
      </c>
      <c r="H1392" s="11">
        <v>0</v>
      </c>
      <c r="I1392" s="4"/>
      <c r="J1392" s="4"/>
      <c r="K1392" s="11">
        <v>0</v>
      </c>
      <c r="L1392" s="4"/>
      <c r="M1392" s="4"/>
      <c r="N1392" s="11">
        <v>350</v>
      </c>
      <c r="O1392" s="4" t="s">
        <v>308</v>
      </c>
      <c r="P1392" s="4" t="s">
        <v>309</v>
      </c>
      <c r="Q1392" s="11">
        <v>0</v>
      </c>
      <c r="R1392" s="4"/>
      <c r="S1392" s="12"/>
    </row>
    <row r="1393" spans="1:19" x14ac:dyDescent="0.25">
      <c r="A1393" s="9" t="s">
        <v>1117</v>
      </c>
      <c r="B1393" s="9" t="s">
        <v>291</v>
      </c>
      <c r="C1393" s="4">
        <v>201000025</v>
      </c>
      <c r="D1393" s="4" t="s">
        <v>353</v>
      </c>
      <c r="E1393" s="4" t="str">
        <f>"000402010"</f>
        <v>000402010</v>
      </c>
      <c r="F1393" s="10">
        <v>40094</v>
      </c>
      <c r="G1393" s="11">
        <v>350</v>
      </c>
      <c r="H1393" s="11">
        <v>0</v>
      </c>
      <c r="I1393" s="4"/>
      <c r="J1393" s="4"/>
      <c r="K1393" s="11">
        <v>0</v>
      </c>
      <c r="L1393" s="4"/>
      <c r="M1393" s="4"/>
      <c r="N1393" s="11">
        <v>350</v>
      </c>
      <c r="O1393" s="4" t="s">
        <v>56</v>
      </c>
      <c r="P1393" s="4" t="s">
        <v>57</v>
      </c>
      <c r="Q1393" s="11">
        <v>0</v>
      </c>
      <c r="R1393" s="4"/>
      <c r="S1393" s="12"/>
    </row>
    <row r="1394" spans="1:19" x14ac:dyDescent="0.25">
      <c r="A1394" s="9" t="s">
        <v>1117</v>
      </c>
      <c r="B1394" s="9" t="s">
        <v>291</v>
      </c>
      <c r="C1394" s="4">
        <v>201000036</v>
      </c>
      <c r="D1394" s="4" t="s">
        <v>1137</v>
      </c>
      <c r="E1394" s="4" t="str">
        <f>"000502010"</f>
        <v>000502010</v>
      </c>
      <c r="F1394" s="10">
        <v>40094</v>
      </c>
      <c r="G1394" s="11">
        <v>365.4</v>
      </c>
      <c r="H1394" s="11">
        <v>0</v>
      </c>
      <c r="I1394" s="4"/>
      <c r="J1394" s="4"/>
      <c r="K1394" s="11">
        <v>0</v>
      </c>
      <c r="L1394" s="4"/>
      <c r="M1394" s="4"/>
      <c r="N1394" s="11">
        <v>365.4</v>
      </c>
      <c r="O1394" s="4" t="s">
        <v>56</v>
      </c>
      <c r="P1394" s="4" t="s">
        <v>57</v>
      </c>
      <c r="Q1394" s="11">
        <v>0</v>
      </c>
      <c r="R1394" s="4"/>
      <c r="S1394" s="12"/>
    </row>
    <row r="1395" spans="1:19" x14ac:dyDescent="0.25">
      <c r="A1395" s="9" t="s">
        <v>1117</v>
      </c>
      <c r="B1395" s="9" t="s">
        <v>291</v>
      </c>
      <c r="C1395" s="4">
        <v>201000041</v>
      </c>
      <c r="D1395" s="4" t="s">
        <v>1138</v>
      </c>
      <c r="E1395" s="4" t="str">
        <f>"000962010"</f>
        <v>000962010</v>
      </c>
      <c r="F1395" s="10">
        <v>40094</v>
      </c>
      <c r="G1395" s="11">
        <v>365.96</v>
      </c>
      <c r="H1395" s="11">
        <v>0</v>
      </c>
      <c r="I1395" s="4"/>
      <c r="J1395" s="4"/>
      <c r="K1395" s="11">
        <v>0</v>
      </c>
      <c r="L1395" s="4"/>
      <c r="M1395" s="4"/>
      <c r="N1395" s="11">
        <v>365.96</v>
      </c>
      <c r="O1395" s="4" t="s">
        <v>56</v>
      </c>
      <c r="P1395" s="4" t="s">
        <v>57</v>
      </c>
      <c r="Q1395" s="11">
        <v>0</v>
      </c>
      <c r="R1395" s="4"/>
      <c r="S1395" s="12"/>
    </row>
    <row r="1396" spans="1:19" x14ac:dyDescent="0.25">
      <c r="A1396" s="9" t="s">
        <v>1117</v>
      </c>
      <c r="B1396" s="9" t="s">
        <v>291</v>
      </c>
      <c r="C1396" s="4">
        <v>201000043</v>
      </c>
      <c r="D1396" s="4" t="s">
        <v>1139</v>
      </c>
      <c r="E1396" s="4" t="str">
        <f>"000542010"</f>
        <v>000542010</v>
      </c>
      <c r="F1396" s="10">
        <v>40094</v>
      </c>
      <c r="G1396" s="11">
        <v>350</v>
      </c>
      <c r="H1396" s="11">
        <v>0</v>
      </c>
      <c r="I1396" s="4"/>
      <c r="J1396" s="4"/>
      <c r="K1396" s="11">
        <v>0</v>
      </c>
      <c r="L1396" s="4"/>
      <c r="M1396" s="4"/>
      <c r="N1396" s="11">
        <v>350</v>
      </c>
      <c r="O1396" s="4" t="s">
        <v>56</v>
      </c>
      <c r="P1396" s="4" t="s">
        <v>57</v>
      </c>
      <c r="Q1396" s="11">
        <v>0</v>
      </c>
      <c r="R1396" s="4"/>
      <c r="S1396" s="12"/>
    </row>
    <row r="1397" spans="1:19" x14ac:dyDescent="0.25">
      <c r="A1397" s="9" t="s">
        <v>1117</v>
      </c>
      <c r="B1397" s="9" t="s">
        <v>291</v>
      </c>
      <c r="C1397" s="4">
        <v>201000049</v>
      </c>
      <c r="D1397" s="4" t="s">
        <v>1140</v>
      </c>
      <c r="E1397" s="4" t="str">
        <f>"000842010"</f>
        <v>000842010</v>
      </c>
      <c r="F1397" s="10">
        <v>40094</v>
      </c>
      <c r="G1397" s="11">
        <v>350</v>
      </c>
      <c r="H1397" s="11">
        <v>0</v>
      </c>
      <c r="I1397" s="4"/>
      <c r="J1397" s="4"/>
      <c r="K1397" s="11">
        <v>0</v>
      </c>
      <c r="L1397" s="4"/>
      <c r="M1397" s="4"/>
      <c r="N1397" s="11">
        <v>350</v>
      </c>
      <c r="O1397" s="4" t="s">
        <v>308</v>
      </c>
      <c r="P1397" s="4" t="s">
        <v>309</v>
      </c>
      <c r="Q1397" s="11">
        <v>0</v>
      </c>
      <c r="R1397" s="4"/>
      <c r="S1397" s="12"/>
    </row>
    <row r="1398" spans="1:19" x14ac:dyDescent="0.25">
      <c r="A1398" s="9" t="s">
        <v>1117</v>
      </c>
      <c r="B1398" s="9" t="s">
        <v>291</v>
      </c>
      <c r="C1398" s="4">
        <v>201000050</v>
      </c>
      <c r="D1398" s="4" t="s">
        <v>1141</v>
      </c>
      <c r="E1398" s="4" t="str">
        <f>"000742010"</f>
        <v>000742010</v>
      </c>
      <c r="F1398" s="10">
        <v>40094</v>
      </c>
      <c r="G1398" s="11">
        <v>350</v>
      </c>
      <c r="H1398" s="11">
        <v>0</v>
      </c>
      <c r="I1398" s="4"/>
      <c r="J1398" s="4"/>
      <c r="K1398" s="11">
        <v>0</v>
      </c>
      <c r="L1398" s="4"/>
      <c r="M1398" s="4"/>
      <c r="N1398" s="11">
        <v>350</v>
      </c>
      <c r="O1398" s="4" t="s">
        <v>56</v>
      </c>
      <c r="P1398" s="4" t="s">
        <v>57</v>
      </c>
      <c r="Q1398" s="11">
        <v>0</v>
      </c>
      <c r="R1398" s="4"/>
      <c r="S1398" s="12"/>
    </row>
    <row r="1399" spans="1:19" x14ac:dyDescent="0.25">
      <c r="A1399" s="9" t="s">
        <v>1117</v>
      </c>
      <c r="B1399" s="9" t="s">
        <v>291</v>
      </c>
      <c r="C1399" s="4">
        <v>201000055</v>
      </c>
      <c r="D1399" s="4" t="s">
        <v>1142</v>
      </c>
      <c r="E1399" s="4" t="str">
        <f>"000562010"</f>
        <v>000562010</v>
      </c>
      <c r="F1399" s="10">
        <v>40094</v>
      </c>
      <c r="G1399" s="11">
        <v>390.52</v>
      </c>
      <c r="H1399" s="11">
        <v>0</v>
      </c>
      <c r="I1399" s="4"/>
      <c r="J1399" s="4"/>
      <c r="K1399" s="11">
        <v>0</v>
      </c>
      <c r="L1399" s="4"/>
      <c r="M1399" s="4"/>
      <c r="N1399" s="11">
        <v>390.52</v>
      </c>
      <c r="O1399" s="4" t="s">
        <v>56</v>
      </c>
      <c r="P1399" s="4" t="s">
        <v>57</v>
      </c>
      <c r="Q1399" s="11">
        <v>0</v>
      </c>
      <c r="R1399" s="4"/>
      <c r="S1399" s="12"/>
    </row>
    <row r="1400" spans="1:19" x14ac:dyDescent="0.25">
      <c r="A1400" s="9" t="s">
        <v>1117</v>
      </c>
      <c r="B1400" s="9" t="s">
        <v>291</v>
      </c>
      <c r="C1400" s="4">
        <v>201000062</v>
      </c>
      <c r="D1400" s="4" t="s">
        <v>1143</v>
      </c>
      <c r="E1400" s="4" t="str">
        <f>"000902010"</f>
        <v>000902010</v>
      </c>
      <c r="F1400" s="10">
        <v>40094</v>
      </c>
      <c r="G1400" s="11">
        <v>350</v>
      </c>
      <c r="H1400" s="11">
        <v>0</v>
      </c>
      <c r="I1400" s="4"/>
      <c r="J1400" s="4"/>
      <c r="K1400" s="11">
        <v>0</v>
      </c>
      <c r="L1400" s="4"/>
      <c r="M1400" s="4"/>
      <c r="N1400" s="11">
        <v>350</v>
      </c>
      <c r="O1400" s="4" t="s">
        <v>56</v>
      </c>
      <c r="P1400" s="4" t="s">
        <v>57</v>
      </c>
      <c r="Q1400" s="11">
        <v>0</v>
      </c>
      <c r="R1400" s="4"/>
      <c r="S1400" s="12"/>
    </row>
    <row r="1401" spans="1:19" x14ac:dyDescent="0.25">
      <c r="A1401" s="9" t="s">
        <v>1117</v>
      </c>
      <c r="B1401" s="9" t="s">
        <v>1117</v>
      </c>
      <c r="C1401" s="4">
        <v>201000063</v>
      </c>
      <c r="D1401" s="4" t="s">
        <v>1144</v>
      </c>
      <c r="E1401" s="4" t="str">
        <f>"002542010"</f>
        <v>002542010</v>
      </c>
      <c r="F1401" s="10">
        <v>40095</v>
      </c>
      <c r="G1401" s="11">
        <v>455</v>
      </c>
      <c r="H1401" s="11">
        <v>0</v>
      </c>
      <c r="I1401" s="4"/>
      <c r="J1401" s="4"/>
      <c r="K1401" s="11">
        <v>0</v>
      </c>
      <c r="L1401" s="4"/>
      <c r="M1401" s="4"/>
      <c r="N1401" s="11">
        <v>455</v>
      </c>
      <c r="O1401" s="4" t="s">
        <v>56</v>
      </c>
      <c r="P1401" s="4" t="s">
        <v>57</v>
      </c>
      <c r="Q1401" s="11">
        <v>0</v>
      </c>
      <c r="R1401" s="4"/>
      <c r="S1401" s="12"/>
    </row>
    <row r="1402" spans="1:19" x14ac:dyDescent="0.25">
      <c r="A1402" s="9" t="s">
        <v>1117</v>
      </c>
      <c r="B1402" s="9" t="s">
        <v>291</v>
      </c>
      <c r="C1402" s="4">
        <v>201000064</v>
      </c>
      <c r="D1402" s="4" t="s">
        <v>1145</v>
      </c>
      <c r="E1402" s="4" t="str">
        <f>"000922010"</f>
        <v>000922010</v>
      </c>
      <c r="F1402" s="10">
        <v>40094</v>
      </c>
      <c r="G1402" s="11">
        <v>350</v>
      </c>
      <c r="H1402" s="11">
        <v>0</v>
      </c>
      <c r="I1402" s="4"/>
      <c r="J1402" s="4"/>
      <c r="K1402" s="11">
        <v>0</v>
      </c>
      <c r="L1402" s="4"/>
      <c r="M1402" s="4"/>
      <c r="N1402" s="11">
        <v>350</v>
      </c>
      <c r="O1402" s="4" t="s">
        <v>56</v>
      </c>
      <c r="P1402" s="4" t="s">
        <v>57</v>
      </c>
      <c r="Q1402" s="11">
        <v>0</v>
      </c>
      <c r="R1402" s="4"/>
      <c r="S1402" s="12"/>
    </row>
    <row r="1403" spans="1:19" x14ac:dyDescent="0.25">
      <c r="A1403" s="9" t="s">
        <v>1117</v>
      </c>
      <c r="B1403" s="9" t="s">
        <v>291</v>
      </c>
      <c r="C1403" s="4">
        <v>201000066</v>
      </c>
      <c r="D1403" s="4"/>
      <c r="E1403" s="4" t="str">
        <f>"000982010"</f>
        <v>000982010</v>
      </c>
      <c r="F1403" s="10">
        <v>40094</v>
      </c>
      <c r="G1403" s="11">
        <v>350</v>
      </c>
      <c r="H1403" s="11">
        <v>0</v>
      </c>
      <c r="I1403" s="4"/>
      <c r="J1403" s="4"/>
      <c r="K1403" s="11">
        <v>0</v>
      </c>
      <c r="L1403" s="4"/>
      <c r="M1403" s="4"/>
      <c r="N1403" s="11">
        <v>350</v>
      </c>
      <c r="O1403" s="4" t="s">
        <v>56</v>
      </c>
      <c r="P1403" s="4" t="s">
        <v>57</v>
      </c>
      <c r="Q1403" s="11">
        <v>0</v>
      </c>
      <c r="R1403" s="4"/>
      <c r="S1403" s="12"/>
    </row>
    <row r="1404" spans="1:19" x14ac:dyDescent="0.25">
      <c r="A1404" s="9" t="s">
        <v>1117</v>
      </c>
      <c r="B1404" s="9" t="s">
        <v>1117</v>
      </c>
      <c r="C1404" s="4">
        <v>201000068</v>
      </c>
      <c r="D1404" s="4" t="s">
        <v>1146</v>
      </c>
      <c r="E1404" s="4" t="str">
        <f>"001142010"</f>
        <v>001142010</v>
      </c>
      <c r="F1404" s="10">
        <v>40094</v>
      </c>
      <c r="G1404" s="11">
        <v>350</v>
      </c>
      <c r="H1404" s="11">
        <v>0</v>
      </c>
      <c r="I1404" s="4"/>
      <c r="J1404" s="4"/>
      <c r="K1404" s="11">
        <v>0</v>
      </c>
      <c r="L1404" s="4"/>
      <c r="M1404" s="4"/>
      <c r="N1404" s="11">
        <v>350</v>
      </c>
      <c r="O1404" s="4" t="s">
        <v>56</v>
      </c>
      <c r="P1404" s="4" t="s">
        <v>57</v>
      </c>
      <c r="Q1404" s="11">
        <v>0</v>
      </c>
      <c r="R1404" s="4"/>
      <c r="S1404" s="12"/>
    </row>
    <row r="1405" spans="1:19" x14ac:dyDescent="0.25">
      <c r="A1405" s="9" t="s">
        <v>1117</v>
      </c>
      <c r="B1405" s="9" t="s">
        <v>291</v>
      </c>
      <c r="C1405" s="4">
        <v>201000069</v>
      </c>
      <c r="D1405" s="4" t="s">
        <v>1147</v>
      </c>
      <c r="E1405" s="4" t="str">
        <f>"001122010"</f>
        <v>001122010</v>
      </c>
      <c r="F1405" s="10">
        <v>40094</v>
      </c>
      <c r="G1405" s="11">
        <v>364.76</v>
      </c>
      <c r="H1405" s="11">
        <v>0</v>
      </c>
      <c r="I1405" s="4"/>
      <c r="J1405" s="4"/>
      <c r="K1405" s="11">
        <v>0</v>
      </c>
      <c r="L1405" s="4"/>
      <c r="M1405" s="4"/>
      <c r="N1405" s="11">
        <v>364.76</v>
      </c>
      <c r="O1405" s="4" t="s">
        <v>56</v>
      </c>
      <c r="P1405" s="4" t="s">
        <v>57</v>
      </c>
      <c r="Q1405" s="11">
        <v>0</v>
      </c>
      <c r="R1405" s="4"/>
      <c r="S1405" s="12"/>
    </row>
    <row r="1406" spans="1:19" x14ac:dyDescent="0.25">
      <c r="A1406" s="9" t="s">
        <v>1117</v>
      </c>
      <c r="B1406" s="9" t="s">
        <v>291</v>
      </c>
      <c r="C1406" s="4">
        <v>201000071</v>
      </c>
      <c r="D1406" s="4" t="s">
        <v>1147</v>
      </c>
      <c r="E1406" s="4" t="str">
        <f>"001102010"</f>
        <v>001102010</v>
      </c>
      <c r="F1406" s="10">
        <v>40094</v>
      </c>
      <c r="G1406" s="11">
        <v>353.1</v>
      </c>
      <c r="H1406" s="11">
        <v>0</v>
      </c>
      <c r="I1406" s="4"/>
      <c r="J1406" s="4"/>
      <c r="K1406" s="11">
        <v>0</v>
      </c>
      <c r="L1406" s="4"/>
      <c r="M1406" s="4"/>
      <c r="N1406" s="11">
        <v>353.1</v>
      </c>
      <c r="O1406" s="4" t="s">
        <v>56</v>
      </c>
      <c r="P1406" s="4" t="s">
        <v>57</v>
      </c>
      <c r="Q1406" s="11">
        <v>0</v>
      </c>
      <c r="R1406" s="4"/>
      <c r="S1406" s="12"/>
    </row>
    <row r="1407" spans="1:19" x14ac:dyDescent="0.25">
      <c r="A1407" s="9" t="s">
        <v>1117</v>
      </c>
      <c r="B1407" s="9" t="s">
        <v>1117</v>
      </c>
      <c r="C1407" s="4">
        <v>201000072</v>
      </c>
      <c r="D1407" s="4" t="s">
        <v>1148</v>
      </c>
      <c r="E1407" s="4" t="str">
        <f>"001082010"</f>
        <v>001082010</v>
      </c>
      <c r="F1407" s="10">
        <v>40094</v>
      </c>
      <c r="G1407" s="11">
        <v>350</v>
      </c>
      <c r="H1407" s="11">
        <v>0</v>
      </c>
      <c r="I1407" s="4"/>
      <c r="J1407" s="4"/>
      <c r="K1407" s="11">
        <v>0</v>
      </c>
      <c r="L1407" s="4"/>
      <c r="M1407" s="4"/>
      <c r="N1407" s="11">
        <v>350</v>
      </c>
      <c r="O1407" s="4" t="s">
        <v>56</v>
      </c>
      <c r="P1407" s="4" t="s">
        <v>57</v>
      </c>
      <c r="Q1407" s="11">
        <v>0</v>
      </c>
      <c r="R1407" s="4"/>
      <c r="S1407" s="12"/>
    </row>
    <row r="1408" spans="1:19" x14ac:dyDescent="0.25">
      <c r="A1408" s="9" t="s">
        <v>1117</v>
      </c>
      <c r="B1408" s="9" t="s">
        <v>291</v>
      </c>
      <c r="C1408" s="4">
        <v>201000074</v>
      </c>
      <c r="D1408" s="4" t="s">
        <v>1132</v>
      </c>
      <c r="E1408" s="4" t="str">
        <f>"002002010"</f>
        <v>002002010</v>
      </c>
      <c r="F1408" s="10">
        <v>40095</v>
      </c>
      <c r="G1408" s="11">
        <v>370</v>
      </c>
      <c r="H1408" s="11">
        <v>0</v>
      </c>
      <c r="I1408" s="4"/>
      <c r="J1408" s="4"/>
      <c r="K1408" s="11">
        <v>0</v>
      </c>
      <c r="L1408" s="4"/>
      <c r="M1408" s="4"/>
      <c r="N1408" s="11">
        <v>370</v>
      </c>
      <c r="O1408" s="4" t="s">
        <v>56</v>
      </c>
      <c r="P1408" s="4" t="s">
        <v>57</v>
      </c>
      <c r="Q1408" s="11">
        <v>0</v>
      </c>
      <c r="R1408" s="4"/>
      <c r="S1408" s="12"/>
    </row>
    <row r="1409" spans="1:19" x14ac:dyDescent="0.25">
      <c r="A1409" s="9" t="s">
        <v>1117</v>
      </c>
      <c r="B1409" s="9" t="s">
        <v>291</v>
      </c>
      <c r="C1409" s="4">
        <v>201000080</v>
      </c>
      <c r="D1409" s="4" t="s">
        <v>1149</v>
      </c>
      <c r="E1409" s="4" t="str">
        <f>"001242010"</f>
        <v>001242010</v>
      </c>
      <c r="F1409" s="10">
        <v>40094</v>
      </c>
      <c r="G1409" s="11">
        <v>350</v>
      </c>
      <c r="H1409" s="11">
        <v>0</v>
      </c>
      <c r="I1409" s="4"/>
      <c r="J1409" s="4"/>
      <c r="K1409" s="11">
        <v>0</v>
      </c>
      <c r="L1409" s="4"/>
      <c r="M1409" s="4"/>
      <c r="N1409" s="11">
        <v>350</v>
      </c>
      <c r="O1409" s="4" t="s">
        <v>56</v>
      </c>
      <c r="P1409" s="4" t="s">
        <v>57</v>
      </c>
      <c r="Q1409" s="11">
        <v>0</v>
      </c>
      <c r="R1409" s="4"/>
      <c r="S1409" s="12"/>
    </row>
    <row r="1410" spans="1:19" x14ac:dyDescent="0.25">
      <c r="A1410" s="9" t="s">
        <v>1117</v>
      </c>
      <c r="B1410" s="9" t="s">
        <v>291</v>
      </c>
      <c r="C1410" s="4">
        <v>201000081</v>
      </c>
      <c r="D1410" s="4" t="s">
        <v>1150</v>
      </c>
      <c r="E1410" s="4" t="str">
        <f>"001222010"</f>
        <v>001222010</v>
      </c>
      <c r="F1410" s="10">
        <v>40094</v>
      </c>
      <c r="G1410" s="11">
        <v>350</v>
      </c>
      <c r="H1410" s="11">
        <v>0</v>
      </c>
      <c r="I1410" s="4"/>
      <c r="J1410" s="4"/>
      <c r="K1410" s="11">
        <v>0</v>
      </c>
      <c r="L1410" s="4"/>
      <c r="M1410" s="4"/>
      <c r="N1410" s="11">
        <v>350</v>
      </c>
      <c r="O1410" s="4" t="s">
        <v>56</v>
      </c>
      <c r="P1410" s="4" t="s">
        <v>57</v>
      </c>
      <c r="Q1410" s="11">
        <v>0</v>
      </c>
      <c r="R1410" s="4"/>
      <c r="S1410" s="12"/>
    </row>
    <row r="1411" spans="1:19" x14ac:dyDescent="0.25">
      <c r="A1411" s="9" t="s">
        <v>1117</v>
      </c>
      <c r="B1411" s="9" t="s">
        <v>291</v>
      </c>
      <c r="C1411" s="4">
        <v>201000102</v>
      </c>
      <c r="D1411" s="4" t="s">
        <v>1151</v>
      </c>
      <c r="E1411" s="4" t="str">
        <f>"002362010"</f>
        <v>002362010</v>
      </c>
      <c r="F1411" s="10">
        <v>40095</v>
      </c>
      <c r="G1411" s="11">
        <v>366.14</v>
      </c>
      <c r="H1411" s="11">
        <v>0</v>
      </c>
      <c r="I1411" s="4"/>
      <c r="J1411" s="4"/>
      <c r="K1411" s="11">
        <v>0</v>
      </c>
      <c r="L1411" s="4"/>
      <c r="M1411" s="4"/>
      <c r="N1411" s="11">
        <v>366.14</v>
      </c>
      <c r="O1411" s="4" t="s">
        <v>56</v>
      </c>
      <c r="P1411" s="4" t="s">
        <v>57</v>
      </c>
      <c r="Q1411" s="11">
        <v>0</v>
      </c>
      <c r="R1411" s="4"/>
      <c r="S1411" s="12"/>
    </row>
    <row r="1412" spans="1:19" x14ac:dyDescent="0.25">
      <c r="A1412" s="9" t="s">
        <v>1117</v>
      </c>
      <c r="B1412" s="9" t="s">
        <v>291</v>
      </c>
      <c r="C1412" s="4">
        <v>201000115</v>
      </c>
      <c r="D1412" s="4" t="s">
        <v>1152</v>
      </c>
      <c r="E1412" s="4" t="str">
        <f>"002202010"</f>
        <v>002202010</v>
      </c>
      <c r="F1412" s="10">
        <v>40095</v>
      </c>
      <c r="G1412" s="11">
        <v>365.63</v>
      </c>
      <c r="H1412" s="11">
        <v>0</v>
      </c>
      <c r="I1412" s="4"/>
      <c r="J1412" s="4"/>
      <c r="K1412" s="11">
        <v>0</v>
      </c>
      <c r="L1412" s="4"/>
      <c r="M1412" s="4"/>
      <c r="N1412" s="11">
        <v>365.63</v>
      </c>
      <c r="O1412" s="4" t="s">
        <v>56</v>
      </c>
      <c r="P1412" s="4" t="s">
        <v>57</v>
      </c>
      <c r="Q1412" s="11">
        <v>0</v>
      </c>
      <c r="R1412" s="4"/>
      <c r="S1412" s="12"/>
    </row>
    <row r="1413" spans="1:19" x14ac:dyDescent="0.25">
      <c r="A1413" s="9" t="s">
        <v>1117</v>
      </c>
      <c r="B1413" s="9" t="s">
        <v>291</v>
      </c>
      <c r="C1413" s="4">
        <v>201000133</v>
      </c>
      <c r="D1413" s="4" t="s">
        <v>1153</v>
      </c>
      <c r="E1413" s="4" t="str">
        <f>"002142010"</f>
        <v>002142010</v>
      </c>
      <c r="F1413" s="10">
        <v>40095</v>
      </c>
      <c r="G1413" s="11">
        <v>350</v>
      </c>
      <c r="H1413" s="11">
        <v>0</v>
      </c>
      <c r="I1413" s="4"/>
      <c r="J1413" s="4"/>
      <c r="K1413" s="11">
        <v>0</v>
      </c>
      <c r="L1413" s="4"/>
      <c r="M1413" s="4"/>
      <c r="N1413" s="11">
        <v>350</v>
      </c>
      <c r="O1413" s="4" t="s">
        <v>56</v>
      </c>
      <c r="P1413" s="4" t="s">
        <v>57</v>
      </c>
      <c r="Q1413" s="11">
        <v>0</v>
      </c>
      <c r="R1413" s="4"/>
      <c r="S1413" s="12"/>
    </row>
    <row r="1414" spans="1:19" x14ac:dyDescent="0.25">
      <c r="A1414" s="9" t="s">
        <v>1117</v>
      </c>
      <c r="B1414" s="9" t="s">
        <v>291</v>
      </c>
      <c r="C1414" s="4">
        <v>201000140</v>
      </c>
      <c r="D1414" s="4" t="s">
        <v>1154</v>
      </c>
      <c r="E1414" s="4" t="str">
        <f>"002382010"</f>
        <v>002382010</v>
      </c>
      <c r="F1414" s="10">
        <v>40095</v>
      </c>
      <c r="G1414" s="11">
        <v>350</v>
      </c>
      <c r="H1414" s="11">
        <v>0</v>
      </c>
      <c r="I1414" s="4"/>
      <c r="J1414" s="4"/>
      <c r="K1414" s="11">
        <v>0</v>
      </c>
      <c r="L1414" s="4"/>
      <c r="M1414" s="4"/>
      <c r="N1414" s="11">
        <v>350</v>
      </c>
      <c r="O1414" s="4" t="s">
        <v>56</v>
      </c>
      <c r="P1414" s="4" t="s">
        <v>57</v>
      </c>
      <c r="Q1414" s="11">
        <v>0</v>
      </c>
      <c r="R1414" s="4"/>
      <c r="S1414" s="12"/>
    </row>
    <row r="1415" spans="1:19" x14ac:dyDescent="0.25">
      <c r="A1415" s="9" t="s">
        <v>1117</v>
      </c>
      <c r="B1415" s="9" t="s">
        <v>291</v>
      </c>
      <c r="C1415" s="4">
        <v>201000141</v>
      </c>
      <c r="D1415" s="4" t="s">
        <v>1155</v>
      </c>
      <c r="E1415" s="4" t="str">
        <f>"002422010"</f>
        <v>002422010</v>
      </c>
      <c r="F1415" s="10">
        <v>40095</v>
      </c>
      <c r="G1415" s="11">
        <v>350</v>
      </c>
      <c r="H1415" s="11">
        <v>0</v>
      </c>
      <c r="I1415" s="4"/>
      <c r="J1415" s="4"/>
      <c r="K1415" s="11">
        <v>0</v>
      </c>
      <c r="L1415" s="4"/>
      <c r="M1415" s="4"/>
      <c r="N1415" s="11">
        <v>350</v>
      </c>
      <c r="O1415" s="4" t="s">
        <v>56</v>
      </c>
      <c r="P1415" s="4" t="s">
        <v>57</v>
      </c>
      <c r="Q1415" s="11">
        <v>0</v>
      </c>
      <c r="R1415" s="4"/>
      <c r="S1415" s="12"/>
    </row>
    <row r="1416" spans="1:19" x14ac:dyDescent="0.25">
      <c r="A1416" s="9" t="s">
        <v>1117</v>
      </c>
      <c r="B1416" s="9" t="s">
        <v>291</v>
      </c>
      <c r="C1416" s="4">
        <v>201000142</v>
      </c>
      <c r="D1416" s="4" t="s">
        <v>1156</v>
      </c>
      <c r="E1416" s="4" t="str">
        <f>"002402010"</f>
        <v>002402010</v>
      </c>
      <c r="F1416" s="10">
        <v>40095</v>
      </c>
      <c r="G1416" s="11">
        <v>100</v>
      </c>
      <c r="H1416" s="11">
        <v>0</v>
      </c>
      <c r="I1416" s="4"/>
      <c r="J1416" s="4"/>
      <c r="K1416" s="11">
        <v>0</v>
      </c>
      <c r="L1416" s="4"/>
      <c r="M1416" s="4"/>
      <c r="N1416" s="11">
        <v>100</v>
      </c>
      <c r="O1416" s="4" t="s">
        <v>56</v>
      </c>
      <c r="P1416" s="4" t="s">
        <v>57</v>
      </c>
      <c r="Q1416" s="11">
        <v>0</v>
      </c>
      <c r="R1416" s="4"/>
      <c r="S1416" s="12"/>
    </row>
    <row r="1417" spans="1:19" x14ac:dyDescent="0.25">
      <c r="A1417" s="9" t="s">
        <v>1117</v>
      </c>
      <c r="B1417" s="9" t="s">
        <v>291</v>
      </c>
      <c r="C1417" s="4">
        <v>201000146</v>
      </c>
      <c r="D1417" s="4" t="s">
        <v>352</v>
      </c>
      <c r="E1417" s="4" t="str">
        <f>"002302010"</f>
        <v>002302010</v>
      </c>
      <c r="F1417" s="10">
        <v>40095</v>
      </c>
      <c r="G1417" s="11">
        <v>350</v>
      </c>
      <c r="H1417" s="11">
        <v>0</v>
      </c>
      <c r="I1417" s="4"/>
      <c r="J1417" s="4"/>
      <c r="K1417" s="11">
        <v>0</v>
      </c>
      <c r="L1417" s="4"/>
      <c r="M1417" s="4"/>
      <c r="N1417" s="11">
        <v>350</v>
      </c>
      <c r="O1417" s="4" t="s">
        <v>308</v>
      </c>
      <c r="P1417" s="4" t="s">
        <v>309</v>
      </c>
      <c r="Q1417" s="11">
        <v>0</v>
      </c>
      <c r="R1417" s="4"/>
      <c r="S1417" s="12"/>
    </row>
    <row r="1418" spans="1:19" x14ac:dyDescent="0.25">
      <c r="A1418" s="9" t="s">
        <v>1117</v>
      </c>
      <c r="B1418" s="9" t="s">
        <v>291</v>
      </c>
      <c r="C1418" s="4">
        <v>201000147</v>
      </c>
      <c r="D1418" s="4" t="s">
        <v>1157</v>
      </c>
      <c r="E1418" s="4" t="str">
        <f>"002262010"</f>
        <v>002262010</v>
      </c>
      <c r="F1418" s="10">
        <v>40095</v>
      </c>
      <c r="G1418" s="11">
        <v>350</v>
      </c>
      <c r="H1418" s="11">
        <v>0</v>
      </c>
      <c r="I1418" s="4"/>
      <c r="J1418" s="4"/>
      <c r="K1418" s="11">
        <v>0</v>
      </c>
      <c r="L1418" s="4"/>
      <c r="M1418" s="4"/>
      <c r="N1418" s="11">
        <v>350</v>
      </c>
      <c r="O1418" s="4" t="s">
        <v>308</v>
      </c>
      <c r="P1418" s="4" t="s">
        <v>309</v>
      </c>
      <c r="Q1418" s="11">
        <v>0</v>
      </c>
      <c r="R1418" s="4"/>
      <c r="S1418" s="12"/>
    </row>
    <row r="1419" spans="1:19" x14ac:dyDescent="0.25">
      <c r="A1419" s="9" t="s">
        <v>1117</v>
      </c>
      <c r="B1419" s="9" t="s">
        <v>291</v>
      </c>
      <c r="C1419" s="4">
        <v>201000148</v>
      </c>
      <c r="D1419" s="4" t="s">
        <v>1158</v>
      </c>
      <c r="E1419" s="4" t="str">
        <f>"002282010"</f>
        <v>002282010</v>
      </c>
      <c r="F1419" s="10">
        <v>40095</v>
      </c>
      <c r="G1419" s="11">
        <v>350</v>
      </c>
      <c r="H1419" s="11">
        <v>0</v>
      </c>
      <c r="I1419" s="4"/>
      <c r="J1419" s="4"/>
      <c r="K1419" s="11">
        <v>0</v>
      </c>
      <c r="L1419" s="4"/>
      <c r="M1419" s="4"/>
      <c r="N1419" s="11">
        <v>350</v>
      </c>
      <c r="O1419" s="4" t="s">
        <v>308</v>
      </c>
      <c r="P1419" s="4" t="s">
        <v>309</v>
      </c>
      <c r="Q1419" s="11">
        <v>0</v>
      </c>
      <c r="R1419" s="4"/>
      <c r="S1419" s="12"/>
    </row>
    <row r="1420" spans="1:19" x14ac:dyDescent="0.25">
      <c r="A1420" s="9" t="s">
        <v>1117</v>
      </c>
      <c r="B1420" s="9" t="s">
        <v>291</v>
      </c>
      <c r="C1420" s="4">
        <v>201000150</v>
      </c>
      <c r="D1420" s="4" t="s">
        <v>1159</v>
      </c>
      <c r="E1420" s="4" t="str">
        <f>"002462010"</f>
        <v>002462010</v>
      </c>
      <c r="F1420" s="10">
        <v>40095</v>
      </c>
      <c r="G1420" s="11">
        <v>350</v>
      </c>
      <c r="H1420" s="11">
        <v>0</v>
      </c>
      <c r="I1420" s="4"/>
      <c r="J1420" s="4"/>
      <c r="K1420" s="11">
        <v>0</v>
      </c>
      <c r="L1420" s="4"/>
      <c r="M1420" s="4"/>
      <c r="N1420" s="11">
        <v>350</v>
      </c>
      <c r="O1420" s="4" t="s">
        <v>308</v>
      </c>
      <c r="P1420" s="4" t="s">
        <v>309</v>
      </c>
      <c r="Q1420" s="11">
        <v>0</v>
      </c>
      <c r="R1420" s="4"/>
      <c r="S1420" s="12"/>
    </row>
    <row r="1421" spans="1:19" x14ac:dyDescent="0.25">
      <c r="A1421" s="9" t="s">
        <v>1117</v>
      </c>
      <c r="B1421" s="9" t="s">
        <v>291</v>
      </c>
      <c r="C1421" s="4">
        <v>201000151</v>
      </c>
      <c r="D1421" s="4" t="s">
        <v>1160</v>
      </c>
      <c r="E1421" s="4" t="str">
        <f>"002522010"</f>
        <v>002522010</v>
      </c>
      <c r="F1421" s="10">
        <v>40095</v>
      </c>
      <c r="G1421" s="11">
        <v>350</v>
      </c>
      <c r="H1421" s="11">
        <v>0</v>
      </c>
      <c r="I1421" s="4"/>
      <c r="J1421" s="4"/>
      <c r="K1421" s="11">
        <v>0</v>
      </c>
      <c r="L1421" s="4"/>
      <c r="M1421" s="4"/>
      <c r="N1421" s="11">
        <v>350</v>
      </c>
      <c r="O1421" s="4" t="s">
        <v>308</v>
      </c>
      <c r="P1421" s="4" t="s">
        <v>309</v>
      </c>
      <c r="Q1421" s="11">
        <v>0</v>
      </c>
      <c r="R1421" s="4"/>
      <c r="S1421" s="12"/>
    </row>
    <row r="1422" spans="1:19" x14ac:dyDescent="0.25">
      <c r="A1422" s="9" t="s">
        <v>1117</v>
      </c>
      <c r="B1422" s="9" t="s">
        <v>291</v>
      </c>
      <c r="C1422" s="4">
        <v>201000158</v>
      </c>
      <c r="D1422" s="4" t="s">
        <v>1157</v>
      </c>
      <c r="E1422" s="4" t="str">
        <f>"002742010"</f>
        <v>002742010</v>
      </c>
      <c r="F1422" s="10">
        <v>40101</v>
      </c>
      <c r="G1422" s="11">
        <v>350</v>
      </c>
      <c r="H1422" s="11">
        <v>0</v>
      </c>
      <c r="I1422" s="4"/>
      <c r="J1422" s="4"/>
      <c r="K1422" s="11">
        <v>0</v>
      </c>
      <c r="L1422" s="4"/>
      <c r="M1422" s="4"/>
      <c r="N1422" s="11">
        <v>350</v>
      </c>
      <c r="O1422" s="4" t="s">
        <v>56</v>
      </c>
      <c r="P1422" s="4" t="s">
        <v>57</v>
      </c>
      <c r="Q1422" s="11">
        <v>0</v>
      </c>
      <c r="R1422" s="4"/>
      <c r="S1422" s="12"/>
    </row>
    <row r="1423" spans="1:19" x14ac:dyDescent="0.25">
      <c r="A1423" s="9" t="s">
        <v>1117</v>
      </c>
      <c r="B1423" s="9" t="s">
        <v>291</v>
      </c>
      <c r="C1423" s="4">
        <v>201000168</v>
      </c>
      <c r="D1423" s="4" t="s">
        <v>1161</v>
      </c>
      <c r="E1423" s="4" t="str">
        <f>"002762010"</f>
        <v>002762010</v>
      </c>
      <c r="F1423" s="10">
        <v>40101</v>
      </c>
      <c r="G1423" s="11">
        <v>18.21</v>
      </c>
      <c r="H1423" s="11">
        <v>0</v>
      </c>
      <c r="I1423" s="4"/>
      <c r="J1423" s="4"/>
      <c r="K1423" s="11">
        <v>0</v>
      </c>
      <c r="L1423" s="4"/>
      <c r="M1423" s="4"/>
      <c r="N1423" s="11">
        <v>18.21</v>
      </c>
      <c r="O1423" s="4" t="s">
        <v>56</v>
      </c>
      <c r="P1423" s="4" t="s">
        <v>57</v>
      </c>
      <c r="Q1423" s="11">
        <v>0</v>
      </c>
      <c r="R1423" s="4"/>
      <c r="S1423" s="12"/>
    </row>
    <row r="1424" spans="1:19" x14ac:dyDescent="0.25">
      <c r="A1424" s="9" t="s">
        <v>1117</v>
      </c>
      <c r="B1424" s="9" t="s">
        <v>291</v>
      </c>
      <c r="C1424" s="4">
        <v>201000178</v>
      </c>
      <c r="D1424" s="4" t="s">
        <v>1162</v>
      </c>
      <c r="E1424" s="4" t="str">
        <f>"011792010"</f>
        <v>011792010</v>
      </c>
      <c r="F1424" s="10">
        <v>40133</v>
      </c>
      <c r="G1424" s="11">
        <v>369.06</v>
      </c>
      <c r="H1424" s="11">
        <v>0</v>
      </c>
      <c r="I1424" s="4"/>
      <c r="J1424" s="4"/>
      <c r="K1424" s="11">
        <v>0</v>
      </c>
      <c r="L1424" s="4"/>
      <c r="M1424" s="4"/>
      <c r="N1424" s="11">
        <v>369.06</v>
      </c>
      <c r="O1424" s="4" t="s">
        <v>56</v>
      </c>
      <c r="P1424" s="4" t="s">
        <v>57</v>
      </c>
      <c r="Q1424" s="11">
        <v>0</v>
      </c>
      <c r="R1424" s="4"/>
      <c r="S1424" s="12"/>
    </row>
    <row r="1425" spans="1:19" x14ac:dyDescent="0.25">
      <c r="A1425" s="9" t="s">
        <v>1117</v>
      </c>
      <c r="B1425" s="9" t="s">
        <v>291</v>
      </c>
      <c r="C1425" s="4">
        <v>201000181</v>
      </c>
      <c r="D1425" s="4" t="s">
        <v>1163</v>
      </c>
      <c r="E1425" s="4" t="str">
        <f>"003062010"</f>
        <v>003062010</v>
      </c>
      <c r="F1425" s="10">
        <v>40101</v>
      </c>
      <c r="G1425" s="11">
        <v>350</v>
      </c>
      <c r="H1425" s="11">
        <v>0</v>
      </c>
      <c r="I1425" s="4"/>
      <c r="J1425" s="4"/>
      <c r="K1425" s="11">
        <v>0</v>
      </c>
      <c r="L1425" s="4"/>
      <c r="M1425" s="4"/>
      <c r="N1425" s="11">
        <v>350</v>
      </c>
      <c r="O1425" s="4" t="s">
        <v>56</v>
      </c>
      <c r="P1425" s="4" t="s">
        <v>57</v>
      </c>
      <c r="Q1425" s="11">
        <v>0</v>
      </c>
      <c r="R1425" s="4"/>
      <c r="S1425" s="12"/>
    </row>
    <row r="1426" spans="1:19" x14ac:dyDescent="0.25">
      <c r="A1426" s="9" t="s">
        <v>1117</v>
      </c>
      <c r="B1426" s="9" t="s">
        <v>291</v>
      </c>
      <c r="C1426" s="4">
        <v>201000182</v>
      </c>
      <c r="D1426" s="4" t="s">
        <v>1164</v>
      </c>
      <c r="E1426" s="4" t="str">
        <f>"003102010"</f>
        <v>003102010</v>
      </c>
      <c r="F1426" s="10">
        <v>40101</v>
      </c>
      <c r="G1426" s="11">
        <v>350</v>
      </c>
      <c r="H1426" s="11">
        <v>0</v>
      </c>
      <c r="I1426" s="4"/>
      <c r="J1426" s="4"/>
      <c r="K1426" s="11">
        <v>0</v>
      </c>
      <c r="L1426" s="4"/>
      <c r="M1426" s="4"/>
      <c r="N1426" s="11">
        <v>350</v>
      </c>
      <c r="O1426" s="4" t="s">
        <v>56</v>
      </c>
      <c r="P1426" s="4" t="s">
        <v>57</v>
      </c>
      <c r="Q1426" s="11">
        <v>0</v>
      </c>
      <c r="R1426" s="4"/>
      <c r="S1426" s="12"/>
    </row>
    <row r="1427" spans="1:19" x14ac:dyDescent="0.25">
      <c r="A1427" s="9" t="s">
        <v>1117</v>
      </c>
      <c r="B1427" s="9" t="s">
        <v>291</v>
      </c>
      <c r="C1427" s="4">
        <v>201000191</v>
      </c>
      <c r="D1427" s="4" t="s">
        <v>1165</v>
      </c>
      <c r="E1427" s="4" t="str">
        <f>"003262010"</f>
        <v>003262010</v>
      </c>
      <c r="F1427" s="10">
        <v>40101</v>
      </c>
      <c r="G1427" s="11">
        <v>350</v>
      </c>
      <c r="H1427" s="11">
        <v>0</v>
      </c>
      <c r="I1427" s="4"/>
      <c r="J1427" s="4"/>
      <c r="K1427" s="11">
        <v>0</v>
      </c>
      <c r="L1427" s="4"/>
      <c r="M1427" s="4"/>
      <c r="N1427" s="11">
        <v>350</v>
      </c>
      <c r="O1427" s="4" t="s">
        <v>56</v>
      </c>
      <c r="P1427" s="4" t="s">
        <v>57</v>
      </c>
      <c r="Q1427" s="11">
        <v>0</v>
      </c>
      <c r="R1427" s="4"/>
      <c r="S1427" s="12"/>
    </row>
    <row r="1428" spans="1:19" x14ac:dyDescent="0.25">
      <c r="A1428" s="9" t="s">
        <v>1117</v>
      </c>
      <c r="B1428" s="9" t="s">
        <v>291</v>
      </c>
      <c r="C1428" s="4">
        <v>201000193</v>
      </c>
      <c r="D1428" s="4" t="s">
        <v>1166</v>
      </c>
      <c r="E1428" s="4" t="str">
        <f>"003342010"</f>
        <v>003342010</v>
      </c>
      <c r="F1428" s="10">
        <v>40101</v>
      </c>
      <c r="G1428" s="11">
        <v>350</v>
      </c>
      <c r="H1428" s="11">
        <v>0</v>
      </c>
      <c r="I1428" s="4"/>
      <c r="J1428" s="4"/>
      <c r="K1428" s="11">
        <v>0</v>
      </c>
      <c r="L1428" s="4"/>
      <c r="M1428" s="4"/>
      <c r="N1428" s="11">
        <v>350</v>
      </c>
      <c r="O1428" s="4" t="s">
        <v>308</v>
      </c>
      <c r="P1428" s="4" t="s">
        <v>309</v>
      </c>
      <c r="Q1428" s="11">
        <v>0</v>
      </c>
      <c r="R1428" s="4"/>
      <c r="S1428" s="12"/>
    </row>
    <row r="1429" spans="1:19" x14ac:dyDescent="0.25">
      <c r="A1429" s="9" t="s">
        <v>1117</v>
      </c>
      <c r="B1429" s="9" t="s">
        <v>291</v>
      </c>
      <c r="C1429" s="4">
        <v>201000199</v>
      </c>
      <c r="D1429" s="4" t="s">
        <v>1167</v>
      </c>
      <c r="E1429" s="4" t="str">
        <f>"003362010"</f>
        <v>003362010</v>
      </c>
      <c r="F1429" s="10">
        <v>40101</v>
      </c>
      <c r="G1429" s="11">
        <v>350</v>
      </c>
      <c r="H1429" s="11">
        <v>0</v>
      </c>
      <c r="I1429" s="4"/>
      <c r="J1429" s="4"/>
      <c r="K1429" s="11">
        <v>0</v>
      </c>
      <c r="L1429" s="4"/>
      <c r="M1429" s="4"/>
      <c r="N1429" s="11">
        <v>350</v>
      </c>
      <c r="O1429" s="4" t="s">
        <v>308</v>
      </c>
      <c r="P1429" s="4" t="s">
        <v>309</v>
      </c>
      <c r="Q1429" s="11">
        <v>0</v>
      </c>
      <c r="R1429" s="4"/>
      <c r="S1429" s="12"/>
    </row>
    <row r="1430" spans="1:19" x14ac:dyDescent="0.25">
      <c r="A1430" s="9" t="s">
        <v>1117</v>
      </c>
      <c r="B1430" s="9" t="s">
        <v>291</v>
      </c>
      <c r="C1430" s="4">
        <v>201000214</v>
      </c>
      <c r="D1430" s="4"/>
      <c r="E1430" s="4" t="str">
        <f>"003862010"</f>
        <v>003862010</v>
      </c>
      <c r="F1430" s="10">
        <v>40102</v>
      </c>
      <c r="G1430" s="11">
        <v>350</v>
      </c>
      <c r="H1430" s="11">
        <v>0</v>
      </c>
      <c r="I1430" s="4"/>
      <c r="J1430" s="4"/>
      <c r="K1430" s="11">
        <v>0</v>
      </c>
      <c r="L1430" s="4"/>
      <c r="M1430" s="4"/>
      <c r="N1430" s="11">
        <v>350</v>
      </c>
      <c r="O1430" s="4" t="s">
        <v>56</v>
      </c>
      <c r="P1430" s="4" t="s">
        <v>57</v>
      </c>
      <c r="Q1430" s="11">
        <v>0</v>
      </c>
      <c r="R1430" s="4"/>
      <c r="S1430" s="12"/>
    </row>
    <row r="1431" spans="1:19" x14ac:dyDescent="0.25">
      <c r="A1431" s="9" t="s">
        <v>1117</v>
      </c>
      <c r="B1431" s="9" t="s">
        <v>291</v>
      </c>
      <c r="C1431" s="4">
        <v>201000226</v>
      </c>
      <c r="D1431" s="4" t="s">
        <v>1168</v>
      </c>
      <c r="E1431" s="4" t="str">
        <f>"003902010"</f>
        <v>003902010</v>
      </c>
      <c r="F1431" s="10">
        <v>40102</v>
      </c>
      <c r="G1431" s="11">
        <v>350</v>
      </c>
      <c r="H1431" s="11">
        <v>0</v>
      </c>
      <c r="I1431" s="4"/>
      <c r="J1431" s="4"/>
      <c r="K1431" s="11">
        <v>0</v>
      </c>
      <c r="L1431" s="4"/>
      <c r="M1431" s="4"/>
      <c r="N1431" s="11">
        <v>350</v>
      </c>
      <c r="O1431" s="4" t="s">
        <v>56</v>
      </c>
      <c r="P1431" s="4" t="s">
        <v>57</v>
      </c>
      <c r="Q1431" s="11">
        <v>0</v>
      </c>
      <c r="R1431" s="4"/>
      <c r="S1431" s="12"/>
    </row>
    <row r="1432" spans="1:19" x14ac:dyDescent="0.25">
      <c r="A1432" s="9" t="s">
        <v>1117</v>
      </c>
      <c r="B1432" s="9" t="s">
        <v>291</v>
      </c>
      <c r="C1432" s="4">
        <v>201000230</v>
      </c>
      <c r="D1432" s="4" t="s">
        <v>1169</v>
      </c>
      <c r="E1432" s="4" t="str">
        <f>"003942010"</f>
        <v>003942010</v>
      </c>
      <c r="F1432" s="10">
        <v>40102</v>
      </c>
      <c r="G1432" s="11">
        <v>350</v>
      </c>
      <c r="H1432" s="11">
        <v>0</v>
      </c>
      <c r="I1432" s="4"/>
      <c r="J1432" s="4"/>
      <c r="K1432" s="11">
        <v>0</v>
      </c>
      <c r="L1432" s="4"/>
      <c r="M1432" s="4"/>
      <c r="N1432" s="11">
        <v>350</v>
      </c>
      <c r="O1432" s="4" t="s">
        <v>56</v>
      </c>
      <c r="P1432" s="4" t="s">
        <v>57</v>
      </c>
      <c r="Q1432" s="11">
        <v>0</v>
      </c>
      <c r="R1432" s="4"/>
      <c r="S1432" s="12"/>
    </row>
    <row r="1433" spans="1:19" x14ac:dyDescent="0.25">
      <c r="A1433" s="9" t="s">
        <v>1117</v>
      </c>
      <c r="B1433" s="9" t="s">
        <v>291</v>
      </c>
      <c r="C1433" s="4">
        <v>201000233</v>
      </c>
      <c r="D1433" s="4" t="s">
        <v>1170</v>
      </c>
      <c r="E1433" s="4" t="str">
        <f>"003982010"</f>
        <v>003982010</v>
      </c>
      <c r="F1433" s="10">
        <v>40102</v>
      </c>
      <c r="G1433" s="11">
        <v>7</v>
      </c>
      <c r="H1433" s="11">
        <v>0</v>
      </c>
      <c r="I1433" s="4"/>
      <c r="J1433" s="4"/>
      <c r="K1433" s="11">
        <v>0</v>
      </c>
      <c r="L1433" s="4"/>
      <c r="M1433" s="4"/>
      <c r="N1433" s="11">
        <v>7</v>
      </c>
      <c r="O1433" s="4" t="s">
        <v>308</v>
      </c>
      <c r="P1433" s="4" t="s">
        <v>309</v>
      </c>
      <c r="Q1433" s="11">
        <v>0</v>
      </c>
      <c r="R1433" s="4"/>
      <c r="S1433" s="12"/>
    </row>
    <row r="1434" spans="1:19" x14ac:dyDescent="0.25">
      <c r="A1434" s="9" t="s">
        <v>1117</v>
      </c>
      <c r="B1434" s="9" t="s">
        <v>291</v>
      </c>
      <c r="C1434" s="4">
        <v>201000249</v>
      </c>
      <c r="D1434" s="4" t="s">
        <v>1168</v>
      </c>
      <c r="E1434" s="4" t="str">
        <f>"004342010"</f>
        <v>004342010</v>
      </c>
      <c r="F1434" s="10">
        <v>40105</v>
      </c>
      <c r="G1434" s="11">
        <v>350</v>
      </c>
      <c r="H1434" s="11">
        <v>0</v>
      </c>
      <c r="I1434" s="4"/>
      <c r="J1434" s="4"/>
      <c r="K1434" s="11">
        <v>0</v>
      </c>
      <c r="L1434" s="4"/>
      <c r="M1434" s="4"/>
      <c r="N1434" s="11">
        <v>350</v>
      </c>
      <c r="O1434" s="4" t="s">
        <v>56</v>
      </c>
      <c r="P1434" s="4" t="s">
        <v>57</v>
      </c>
      <c r="Q1434" s="11">
        <v>0</v>
      </c>
      <c r="R1434" s="4"/>
      <c r="S1434" s="12"/>
    </row>
    <row r="1435" spans="1:19" x14ac:dyDescent="0.25">
      <c r="A1435" s="9" t="s">
        <v>1117</v>
      </c>
      <c r="B1435" s="9" t="s">
        <v>291</v>
      </c>
      <c r="C1435" s="4">
        <v>201000253</v>
      </c>
      <c r="D1435" s="4" t="s">
        <v>1141</v>
      </c>
      <c r="E1435" s="4" t="str">
        <f>"004432010"</f>
        <v>004432010</v>
      </c>
      <c r="F1435" s="10">
        <v>40107</v>
      </c>
      <c r="G1435" s="11">
        <v>350</v>
      </c>
      <c r="H1435" s="11">
        <v>0</v>
      </c>
      <c r="I1435" s="4"/>
      <c r="J1435" s="4"/>
      <c r="K1435" s="11">
        <v>0</v>
      </c>
      <c r="L1435" s="4"/>
      <c r="M1435" s="4"/>
      <c r="N1435" s="11">
        <v>350</v>
      </c>
      <c r="O1435" s="4" t="s">
        <v>308</v>
      </c>
      <c r="P1435" s="4" t="s">
        <v>309</v>
      </c>
      <c r="Q1435" s="11">
        <v>0</v>
      </c>
      <c r="R1435" s="4"/>
      <c r="S1435" s="12"/>
    </row>
    <row r="1436" spans="1:19" x14ac:dyDescent="0.25">
      <c r="A1436" s="9" t="s">
        <v>1117</v>
      </c>
      <c r="B1436" s="9" t="s">
        <v>291</v>
      </c>
      <c r="C1436" s="4">
        <v>201000269</v>
      </c>
      <c r="D1436" s="4" t="s">
        <v>1171</v>
      </c>
      <c r="E1436" s="4" t="str">
        <f>"005912010"</f>
        <v>005912010</v>
      </c>
      <c r="F1436" s="10">
        <v>40112</v>
      </c>
      <c r="G1436" s="11">
        <v>4</v>
      </c>
      <c r="H1436" s="11">
        <v>0</v>
      </c>
      <c r="I1436" s="4"/>
      <c r="J1436" s="4"/>
      <c r="K1436" s="11">
        <v>0</v>
      </c>
      <c r="L1436" s="4"/>
      <c r="M1436" s="4"/>
      <c r="N1436" s="11">
        <v>4</v>
      </c>
      <c r="O1436" s="4" t="s">
        <v>56</v>
      </c>
      <c r="P1436" s="4" t="s">
        <v>57</v>
      </c>
      <c r="Q1436" s="11">
        <v>0</v>
      </c>
      <c r="R1436" s="4"/>
      <c r="S1436" s="12"/>
    </row>
    <row r="1437" spans="1:19" x14ac:dyDescent="0.25">
      <c r="A1437" s="9" t="s">
        <v>1117</v>
      </c>
      <c r="B1437" s="9" t="s">
        <v>291</v>
      </c>
      <c r="C1437" s="4">
        <v>201000272</v>
      </c>
      <c r="D1437" s="4" t="s">
        <v>1172</v>
      </c>
      <c r="E1437" s="4" t="str">
        <f>"004552010"</f>
        <v>004552010</v>
      </c>
      <c r="F1437" s="10">
        <v>40106</v>
      </c>
      <c r="G1437" s="11">
        <v>350</v>
      </c>
      <c r="H1437" s="11">
        <v>0</v>
      </c>
      <c r="I1437" s="4"/>
      <c r="J1437" s="4"/>
      <c r="K1437" s="11">
        <v>0</v>
      </c>
      <c r="L1437" s="4"/>
      <c r="M1437" s="4"/>
      <c r="N1437" s="11">
        <v>350</v>
      </c>
      <c r="O1437" s="4" t="s">
        <v>56</v>
      </c>
      <c r="P1437" s="4" t="s">
        <v>57</v>
      </c>
      <c r="Q1437" s="11">
        <v>0</v>
      </c>
      <c r="R1437" s="4"/>
      <c r="S1437" s="12"/>
    </row>
    <row r="1438" spans="1:19" x14ac:dyDescent="0.25">
      <c r="A1438" s="9" t="s">
        <v>1117</v>
      </c>
      <c r="B1438" s="9" t="s">
        <v>291</v>
      </c>
      <c r="C1438" s="4">
        <v>201000279</v>
      </c>
      <c r="D1438" s="4" t="s">
        <v>1173</v>
      </c>
      <c r="E1438" s="4" t="str">
        <f>"005032010"</f>
        <v>005032010</v>
      </c>
      <c r="F1438" s="10">
        <v>40109</v>
      </c>
      <c r="G1438" s="11">
        <v>350</v>
      </c>
      <c r="H1438" s="11">
        <v>0</v>
      </c>
      <c r="I1438" s="4"/>
      <c r="J1438" s="4"/>
      <c r="K1438" s="11">
        <v>0</v>
      </c>
      <c r="L1438" s="4"/>
      <c r="M1438" s="4"/>
      <c r="N1438" s="11">
        <v>350</v>
      </c>
      <c r="O1438" s="4" t="s">
        <v>56</v>
      </c>
      <c r="P1438" s="4" t="s">
        <v>57</v>
      </c>
      <c r="Q1438" s="11">
        <v>0</v>
      </c>
      <c r="R1438" s="4"/>
      <c r="S1438" s="12"/>
    </row>
    <row r="1439" spans="1:19" x14ac:dyDescent="0.25">
      <c r="A1439" s="9" t="s">
        <v>1117</v>
      </c>
      <c r="B1439" s="9" t="s">
        <v>291</v>
      </c>
      <c r="C1439" s="4">
        <v>201000286</v>
      </c>
      <c r="D1439" s="4" t="s">
        <v>1174</v>
      </c>
      <c r="E1439" s="4" t="str">
        <f>"005132010"</f>
        <v>005132010</v>
      </c>
      <c r="F1439" s="10">
        <v>40109</v>
      </c>
      <c r="G1439" s="11">
        <v>36.700000000000003</v>
      </c>
      <c r="H1439" s="11">
        <v>0</v>
      </c>
      <c r="I1439" s="4"/>
      <c r="J1439" s="4"/>
      <c r="K1439" s="11">
        <v>0</v>
      </c>
      <c r="L1439" s="4"/>
      <c r="M1439" s="4"/>
      <c r="N1439" s="11">
        <v>36.700000000000003</v>
      </c>
      <c r="O1439" s="4" t="s">
        <v>56</v>
      </c>
      <c r="P1439" s="4" t="s">
        <v>57</v>
      </c>
      <c r="Q1439" s="11">
        <v>0</v>
      </c>
      <c r="R1439" s="4"/>
      <c r="S1439" s="12"/>
    </row>
    <row r="1440" spans="1:19" x14ac:dyDescent="0.25">
      <c r="A1440" s="9" t="s">
        <v>1117</v>
      </c>
      <c r="B1440" s="9" t="s">
        <v>291</v>
      </c>
      <c r="C1440" s="4">
        <v>201000287</v>
      </c>
      <c r="D1440" s="4" t="s">
        <v>1175</v>
      </c>
      <c r="E1440" s="4" t="str">
        <f>"005112010"</f>
        <v>005112010</v>
      </c>
      <c r="F1440" s="10">
        <v>40109</v>
      </c>
      <c r="G1440" s="11">
        <v>350</v>
      </c>
      <c r="H1440" s="11">
        <v>0</v>
      </c>
      <c r="I1440" s="4"/>
      <c r="J1440" s="4"/>
      <c r="K1440" s="11">
        <v>0</v>
      </c>
      <c r="L1440" s="4"/>
      <c r="M1440" s="4"/>
      <c r="N1440" s="11">
        <v>350</v>
      </c>
      <c r="O1440" s="4" t="s">
        <v>56</v>
      </c>
      <c r="P1440" s="4" t="s">
        <v>57</v>
      </c>
      <c r="Q1440" s="11">
        <v>0</v>
      </c>
      <c r="R1440" s="4"/>
      <c r="S1440" s="12"/>
    </row>
    <row r="1441" spans="1:19" x14ac:dyDescent="0.25">
      <c r="A1441" s="9" t="s">
        <v>1117</v>
      </c>
      <c r="B1441" s="9" t="s">
        <v>291</v>
      </c>
      <c r="C1441" s="4">
        <v>201000288</v>
      </c>
      <c r="D1441" s="4" t="s">
        <v>1176</v>
      </c>
      <c r="E1441" s="4" t="str">
        <f>"005092010"</f>
        <v>005092010</v>
      </c>
      <c r="F1441" s="10">
        <v>40109</v>
      </c>
      <c r="G1441" s="11">
        <v>21</v>
      </c>
      <c r="H1441" s="11">
        <v>0</v>
      </c>
      <c r="I1441" s="4"/>
      <c r="J1441" s="4"/>
      <c r="K1441" s="11">
        <v>0</v>
      </c>
      <c r="L1441" s="4"/>
      <c r="M1441" s="4"/>
      <c r="N1441" s="11">
        <v>21</v>
      </c>
      <c r="O1441" s="4" t="s">
        <v>56</v>
      </c>
      <c r="P1441" s="4" t="s">
        <v>57</v>
      </c>
      <c r="Q1441" s="11">
        <v>0</v>
      </c>
      <c r="R1441" s="4"/>
      <c r="S1441" s="12"/>
    </row>
    <row r="1442" spans="1:19" x14ac:dyDescent="0.25">
      <c r="A1442" s="9" t="s">
        <v>1117</v>
      </c>
      <c r="B1442" s="9" t="s">
        <v>291</v>
      </c>
      <c r="C1442" s="4">
        <v>201000290</v>
      </c>
      <c r="D1442" s="4" t="s">
        <v>1177</v>
      </c>
      <c r="E1442" s="4" t="str">
        <f>"005192010"</f>
        <v>005192010</v>
      </c>
      <c r="F1442" s="10">
        <v>40109</v>
      </c>
      <c r="G1442" s="11">
        <v>96.1</v>
      </c>
      <c r="H1442" s="11">
        <v>0</v>
      </c>
      <c r="I1442" s="4"/>
      <c r="J1442" s="4"/>
      <c r="K1442" s="11">
        <v>0</v>
      </c>
      <c r="L1442" s="4"/>
      <c r="M1442" s="4"/>
      <c r="N1442" s="11">
        <v>96.1</v>
      </c>
      <c r="O1442" s="4" t="s">
        <v>56</v>
      </c>
      <c r="P1442" s="4" t="s">
        <v>57</v>
      </c>
      <c r="Q1442" s="11">
        <v>0</v>
      </c>
      <c r="R1442" s="4"/>
      <c r="S1442" s="12"/>
    </row>
    <row r="1443" spans="1:19" x14ac:dyDescent="0.25">
      <c r="A1443" s="9" t="s">
        <v>1117</v>
      </c>
      <c r="B1443" s="9" t="s">
        <v>291</v>
      </c>
      <c r="C1443" s="4">
        <v>201000291</v>
      </c>
      <c r="D1443" s="4" t="s">
        <v>1178</v>
      </c>
      <c r="E1443" s="4" t="str">
        <f>"005212010"</f>
        <v>005212010</v>
      </c>
      <c r="F1443" s="10">
        <v>40109</v>
      </c>
      <c r="G1443" s="11">
        <v>326.39999999999998</v>
      </c>
      <c r="H1443" s="11">
        <v>0</v>
      </c>
      <c r="I1443" s="4"/>
      <c r="J1443" s="4"/>
      <c r="K1443" s="11">
        <v>0</v>
      </c>
      <c r="L1443" s="4"/>
      <c r="M1443" s="4"/>
      <c r="N1443" s="11">
        <v>326.39999999999998</v>
      </c>
      <c r="O1443" s="4" t="s">
        <v>56</v>
      </c>
      <c r="P1443" s="4" t="s">
        <v>57</v>
      </c>
      <c r="Q1443" s="11">
        <v>0</v>
      </c>
      <c r="R1443" s="4"/>
      <c r="S1443" s="12"/>
    </row>
    <row r="1444" spans="1:19" x14ac:dyDescent="0.25">
      <c r="A1444" s="9" t="s">
        <v>1117</v>
      </c>
      <c r="B1444" s="9" t="s">
        <v>291</v>
      </c>
      <c r="C1444" s="4">
        <v>201000292</v>
      </c>
      <c r="D1444" s="4"/>
      <c r="E1444" s="4" t="str">
        <f>"005252010"</f>
        <v>005252010</v>
      </c>
      <c r="F1444" s="10">
        <v>40109</v>
      </c>
      <c r="G1444" s="11">
        <v>350</v>
      </c>
      <c r="H1444" s="11">
        <v>0</v>
      </c>
      <c r="I1444" s="4"/>
      <c r="J1444" s="4"/>
      <c r="K1444" s="11">
        <v>0</v>
      </c>
      <c r="L1444" s="4"/>
      <c r="M1444" s="4"/>
      <c r="N1444" s="11">
        <v>350</v>
      </c>
      <c r="O1444" s="4" t="s">
        <v>56</v>
      </c>
      <c r="P1444" s="4" t="s">
        <v>57</v>
      </c>
      <c r="Q1444" s="11">
        <v>0</v>
      </c>
      <c r="R1444" s="4"/>
      <c r="S1444" s="12"/>
    </row>
    <row r="1445" spans="1:19" x14ac:dyDescent="0.25">
      <c r="A1445" s="9" t="s">
        <v>1117</v>
      </c>
      <c r="B1445" s="9" t="s">
        <v>291</v>
      </c>
      <c r="C1445" s="4">
        <v>201000293</v>
      </c>
      <c r="D1445" s="4" t="s">
        <v>1179</v>
      </c>
      <c r="E1445" s="4" t="str">
        <f>"005352010"</f>
        <v>005352010</v>
      </c>
      <c r="F1445" s="10">
        <v>40109</v>
      </c>
      <c r="G1445" s="11">
        <v>350</v>
      </c>
      <c r="H1445" s="11">
        <v>0</v>
      </c>
      <c r="I1445" s="4"/>
      <c r="J1445" s="4"/>
      <c r="K1445" s="11">
        <v>0</v>
      </c>
      <c r="L1445" s="4"/>
      <c r="M1445" s="4"/>
      <c r="N1445" s="11">
        <v>350</v>
      </c>
      <c r="O1445" s="4" t="s">
        <v>56</v>
      </c>
      <c r="P1445" s="4" t="s">
        <v>57</v>
      </c>
      <c r="Q1445" s="11">
        <v>0</v>
      </c>
      <c r="R1445" s="4"/>
      <c r="S1445" s="12"/>
    </row>
    <row r="1446" spans="1:19" x14ac:dyDescent="0.25">
      <c r="A1446" s="9" t="s">
        <v>1117</v>
      </c>
      <c r="B1446" s="9" t="s">
        <v>291</v>
      </c>
      <c r="C1446" s="4">
        <v>201000297</v>
      </c>
      <c r="D1446" s="4" t="s">
        <v>1180</v>
      </c>
      <c r="E1446" s="4" t="str">
        <f>"011572010"</f>
        <v>011572010</v>
      </c>
      <c r="F1446" s="10">
        <v>40133</v>
      </c>
      <c r="G1446" s="11">
        <v>350</v>
      </c>
      <c r="H1446" s="11">
        <v>0</v>
      </c>
      <c r="I1446" s="4"/>
      <c r="J1446" s="4"/>
      <c r="K1446" s="11">
        <v>0</v>
      </c>
      <c r="L1446" s="4"/>
      <c r="M1446" s="4"/>
      <c r="N1446" s="11">
        <v>350</v>
      </c>
      <c r="O1446" s="4" t="s">
        <v>56</v>
      </c>
      <c r="P1446" s="4" t="s">
        <v>57</v>
      </c>
      <c r="Q1446" s="11">
        <v>0</v>
      </c>
      <c r="R1446" s="4"/>
      <c r="S1446" s="12"/>
    </row>
    <row r="1447" spans="1:19" x14ac:dyDescent="0.25">
      <c r="A1447" s="9" t="s">
        <v>1117</v>
      </c>
      <c r="B1447" s="9" t="s">
        <v>291</v>
      </c>
      <c r="C1447" s="4">
        <v>201000306</v>
      </c>
      <c r="D1447" s="4" t="s">
        <v>1181</v>
      </c>
      <c r="E1447" s="4" t="str">
        <f>"005632010"</f>
        <v>005632010</v>
      </c>
      <c r="F1447" s="10">
        <v>40109</v>
      </c>
      <c r="G1447" s="11">
        <v>380.25</v>
      </c>
      <c r="H1447" s="11">
        <v>0</v>
      </c>
      <c r="I1447" s="4"/>
      <c r="J1447" s="4"/>
      <c r="K1447" s="11">
        <v>0</v>
      </c>
      <c r="L1447" s="4"/>
      <c r="M1447" s="4"/>
      <c r="N1447" s="11">
        <v>380.25</v>
      </c>
      <c r="O1447" s="4" t="s">
        <v>308</v>
      </c>
      <c r="P1447" s="4" t="s">
        <v>309</v>
      </c>
      <c r="Q1447" s="11">
        <v>0</v>
      </c>
      <c r="R1447" s="4"/>
      <c r="S1447" s="12"/>
    </row>
    <row r="1448" spans="1:19" x14ac:dyDescent="0.25">
      <c r="A1448" s="9" t="s">
        <v>1117</v>
      </c>
      <c r="B1448" s="9" t="s">
        <v>291</v>
      </c>
      <c r="C1448" s="4">
        <v>201000310</v>
      </c>
      <c r="D1448" s="4" t="s">
        <v>1182</v>
      </c>
      <c r="E1448" s="4" t="str">
        <f>"005652010"</f>
        <v>005652010</v>
      </c>
      <c r="F1448" s="10">
        <v>40109</v>
      </c>
      <c r="G1448" s="11">
        <v>350</v>
      </c>
      <c r="H1448" s="11">
        <v>0</v>
      </c>
      <c r="I1448" s="4"/>
      <c r="J1448" s="4"/>
      <c r="K1448" s="11">
        <v>0</v>
      </c>
      <c r="L1448" s="4"/>
      <c r="M1448" s="4"/>
      <c r="N1448" s="11">
        <v>350</v>
      </c>
      <c r="O1448" s="4" t="s">
        <v>308</v>
      </c>
      <c r="P1448" s="4" t="s">
        <v>309</v>
      </c>
      <c r="Q1448" s="11">
        <v>0</v>
      </c>
      <c r="R1448" s="4"/>
      <c r="S1448" s="12"/>
    </row>
    <row r="1449" spans="1:19" x14ac:dyDescent="0.25">
      <c r="A1449" s="9" t="s">
        <v>1117</v>
      </c>
      <c r="B1449" s="9" t="s">
        <v>291</v>
      </c>
      <c r="C1449" s="4">
        <v>201000311</v>
      </c>
      <c r="D1449" s="4" t="s">
        <v>1183</v>
      </c>
      <c r="E1449" s="4" t="str">
        <f>"005712010"</f>
        <v>005712010</v>
      </c>
      <c r="F1449" s="10">
        <v>40109</v>
      </c>
      <c r="G1449" s="11">
        <v>354.07</v>
      </c>
      <c r="H1449" s="11">
        <v>0</v>
      </c>
      <c r="I1449" s="4"/>
      <c r="J1449" s="4"/>
      <c r="K1449" s="11">
        <v>0</v>
      </c>
      <c r="L1449" s="4"/>
      <c r="M1449" s="4"/>
      <c r="N1449" s="11">
        <v>354.07</v>
      </c>
      <c r="O1449" s="4" t="s">
        <v>308</v>
      </c>
      <c r="P1449" s="4" t="s">
        <v>309</v>
      </c>
      <c r="Q1449" s="11">
        <v>0</v>
      </c>
      <c r="R1449" s="4"/>
      <c r="S1449" s="12"/>
    </row>
    <row r="1450" spans="1:19" x14ac:dyDescent="0.25">
      <c r="A1450" s="9" t="s">
        <v>1117</v>
      </c>
      <c r="B1450" s="9" t="s">
        <v>291</v>
      </c>
      <c r="C1450" s="4">
        <v>201000316</v>
      </c>
      <c r="D1450" s="4" t="s">
        <v>1184</v>
      </c>
      <c r="E1450" s="4" t="str">
        <f>"005772010"</f>
        <v>005772010</v>
      </c>
      <c r="F1450" s="10">
        <v>40109</v>
      </c>
      <c r="G1450" s="11">
        <v>350</v>
      </c>
      <c r="H1450" s="11">
        <v>0</v>
      </c>
      <c r="I1450" s="4"/>
      <c r="J1450" s="4"/>
      <c r="K1450" s="11">
        <v>0</v>
      </c>
      <c r="L1450" s="4"/>
      <c r="M1450" s="4"/>
      <c r="N1450" s="11">
        <v>350</v>
      </c>
      <c r="O1450" s="4" t="s">
        <v>308</v>
      </c>
      <c r="P1450" s="4" t="s">
        <v>309</v>
      </c>
      <c r="Q1450" s="11">
        <v>0</v>
      </c>
      <c r="R1450" s="4"/>
      <c r="S1450" s="12"/>
    </row>
    <row r="1451" spans="1:19" x14ac:dyDescent="0.25">
      <c r="A1451" s="9" t="s">
        <v>1117</v>
      </c>
      <c r="B1451" s="9" t="s">
        <v>291</v>
      </c>
      <c r="C1451" s="4">
        <v>201000317</v>
      </c>
      <c r="D1451" s="4" t="s">
        <v>1185</v>
      </c>
      <c r="E1451" s="4" t="str">
        <f>"006192010"</f>
        <v>006192010</v>
      </c>
      <c r="F1451" s="10">
        <v>40112</v>
      </c>
      <c r="G1451" s="11">
        <v>400</v>
      </c>
      <c r="H1451" s="11">
        <v>0</v>
      </c>
      <c r="I1451" s="4"/>
      <c r="J1451" s="4"/>
      <c r="K1451" s="11">
        <v>0</v>
      </c>
      <c r="L1451" s="4"/>
      <c r="M1451" s="4"/>
      <c r="N1451" s="11">
        <v>400</v>
      </c>
      <c r="O1451" s="4" t="s">
        <v>56</v>
      </c>
      <c r="P1451" s="4" t="s">
        <v>57</v>
      </c>
      <c r="Q1451" s="11">
        <v>0</v>
      </c>
      <c r="R1451" s="4"/>
      <c r="S1451" s="12"/>
    </row>
    <row r="1452" spans="1:19" x14ac:dyDescent="0.25">
      <c r="A1452" s="9" t="s">
        <v>1117</v>
      </c>
      <c r="B1452" s="9" t="s">
        <v>291</v>
      </c>
      <c r="C1452" s="4">
        <v>201000318</v>
      </c>
      <c r="D1452" s="4" t="s">
        <v>1185</v>
      </c>
      <c r="E1452" s="4" t="str">
        <f>"006132010"</f>
        <v>006132010</v>
      </c>
      <c r="F1452" s="10">
        <v>40112</v>
      </c>
      <c r="G1452" s="11">
        <v>366</v>
      </c>
      <c r="H1452" s="11">
        <v>0</v>
      </c>
      <c r="I1452" s="4"/>
      <c r="J1452" s="4"/>
      <c r="K1452" s="11">
        <v>0</v>
      </c>
      <c r="L1452" s="4"/>
      <c r="M1452" s="4"/>
      <c r="N1452" s="11">
        <v>366</v>
      </c>
      <c r="O1452" s="4" t="s">
        <v>56</v>
      </c>
      <c r="P1452" s="4" t="s">
        <v>57</v>
      </c>
      <c r="Q1452" s="11">
        <v>0</v>
      </c>
      <c r="R1452" s="4"/>
      <c r="S1452" s="12"/>
    </row>
    <row r="1453" spans="1:19" x14ac:dyDescent="0.25">
      <c r="A1453" s="9" t="s">
        <v>1117</v>
      </c>
      <c r="B1453" s="9" t="s">
        <v>291</v>
      </c>
      <c r="C1453" s="4">
        <v>201000319</v>
      </c>
      <c r="D1453" s="4" t="s">
        <v>1185</v>
      </c>
      <c r="E1453" s="4" t="str">
        <f>"006172010"</f>
        <v>006172010</v>
      </c>
      <c r="F1453" s="10">
        <v>40112</v>
      </c>
      <c r="G1453" s="11">
        <v>383</v>
      </c>
      <c r="H1453" s="11">
        <v>0</v>
      </c>
      <c r="I1453" s="4"/>
      <c r="J1453" s="4"/>
      <c r="K1453" s="11">
        <v>0</v>
      </c>
      <c r="L1453" s="4"/>
      <c r="M1453" s="4"/>
      <c r="N1453" s="11">
        <v>383</v>
      </c>
      <c r="O1453" s="4" t="s">
        <v>56</v>
      </c>
      <c r="P1453" s="4" t="s">
        <v>57</v>
      </c>
      <c r="Q1453" s="11">
        <v>0</v>
      </c>
      <c r="R1453" s="4"/>
      <c r="S1453" s="12"/>
    </row>
    <row r="1454" spans="1:19" x14ac:dyDescent="0.25">
      <c r="A1454" s="9" t="s">
        <v>1117</v>
      </c>
      <c r="B1454" s="9" t="s">
        <v>291</v>
      </c>
      <c r="C1454" s="4">
        <v>201000320</v>
      </c>
      <c r="D1454" s="4" t="s">
        <v>1185</v>
      </c>
      <c r="E1454" s="4" t="str">
        <f>"006152010"</f>
        <v>006152010</v>
      </c>
      <c r="F1454" s="10">
        <v>40112</v>
      </c>
      <c r="G1454" s="11">
        <v>368</v>
      </c>
      <c r="H1454" s="11">
        <v>0</v>
      </c>
      <c r="I1454" s="4"/>
      <c r="J1454" s="4"/>
      <c r="K1454" s="11">
        <v>0</v>
      </c>
      <c r="L1454" s="4"/>
      <c r="M1454" s="4"/>
      <c r="N1454" s="11">
        <v>368</v>
      </c>
      <c r="O1454" s="4" t="s">
        <v>56</v>
      </c>
      <c r="P1454" s="4" t="s">
        <v>57</v>
      </c>
      <c r="Q1454" s="11">
        <v>0</v>
      </c>
      <c r="R1454" s="4"/>
      <c r="S1454" s="12"/>
    </row>
    <row r="1455" spans="1:19" x14ac:dyDescent="0.25">
      <c r="A1455" s="9" t="s">
        <v>1117</v>
      </c>
      <c r="B1455" s="9" t="s">
        <v>291</v>
      </c>
      <c r="C1455" s="4">
        <v>201000321</v>
      </c>
      <c r="D1455" s="4" t="s">
        <v>1186</v>
      </c>
      <c r="E1455" s="4" t="str">
        <f>"006112010"</f>
        <v>006112010</v>
      </c>
      <c r="F1455" s="10">
        <v>40112</v>
      </c>
      <c r="G1455" s="11">
        <v>350</v>
      </c>
      <c r="H1455" s="11">
        <v>0</v>
      </c>
      <c r="I1455" s="4"/>
      <c r="J1455" s="4"/>
      <c r="K1455" s="11">
        <v>0</v>
      </c>
      <c r="L1455" s="4"/>
      <c r="M1455" s="4"/>
      <c r="N1455" s="11">
        <v>350</v>
      </c>
      <c r="O1455" s="4" t="s">
        <v>56</v>
      </c>
      <c r="P1455" s="4" t="s">
        <v>57</v>
      </c>
      <c r="Q1455" s="11">
        <v>0</v>
      </c>
      <c r="R1455" s="4"/>
      <c r="S1455" s="12"/>
    </row>
    <row r="1456" spans="1:19" x14ac:dyDescent="0.25">
      <c r="A1456" s="9" t="s">
        <v>1117</v>
      </c>
      <c r="B1456" s="9" t="s">
        <v>291</v>
      </c>
      <c r="C1456" s="4">
        <v>201000322</v>
      </c>
      <c r="D1456" s="4"/>
      <c r="E1456" s="4" t="str">
        <f>"005832010"</f>
        <v>005832010</v>
      </c>
      <c r="F1456" s="10">
        <v>40109</v>
      </c>
      <c r="G1456" s="11">
        <v>350</v>
      </c>
      <c r="H1456" s="11">
        <v>0</v>
      </c>
      <c r="I1456" s="4"/>
      <c r="J1456" s="4"/>
      <c r="K1456" s="11">
        <v>0</v>
      </c>
      <c r="L1456" s="4"/>
      <c r="M1456" s="4"/>
      <c r="N1456" s="11">
        <v>350</v>
      </c>
      <c r="O1456" s="4" t="s">
        <v>56</v>
      </c>
      <c r="P1456" s="4" t="s">
        <v>57</v>
      </c>
      <c r="Q1456" s="11">
        <v>0</v>
      </c>
      <c r="R1456" s="4"/>
      <c r="S1456" s="12"/>
    </row>
    <row r="1457" spans="1:19" x14ac:dyDescent="0.25">
      <c r="A1457" s="9" t="s">
        <v>1117</v>
      </c>
      <c r="B1457" s="9" t="s">
        <v>291</v>
      </c>
      <c r="C1457" s="4">
        <v>201000335</v>
      </c>
      <c r="D1457" s="4" t="s">
        <v>1161</v>
      </c>
      <c r="E1457" s="4" t="str">
        <f>"006312010"</f>
        <v>006312010</v>
      </c>
      <c r="F1457" s="10">
        <v>40112</v>
      </c>
      <c r="G1457" s="11">
        <v>366.3</v>
      </c>
      <c r="H1457" s="11">
        <v>0</v>
      </c>
      <c r="I1457" s="4"/>
      <c r="J1457" s="4"/>
      <c r="K1457" s="11">
        <v>0</v>
      </c>
      <c r="L1457" s="4"/>
      <c r="M1457" s="4"/>
      <c r="N1457" s="11">
        <v>366.3</v>
      </c>
      <c r="O1457" s="4" t="s">
        <v>308</v>
      </c>
      <c r="P1457" s="4" t="s">
        <v>309</v>
      </c>
      <c r="Q1457" s="11">
        <v>0</v>
      </c>
      <c r="R1457" s="4"/>
      <c r="S1457" s="12"/>
    </row>
    <row r="1458" spans="1:19" x14ac:dyDescent="0.25">
      <c r="A1458" s="9" t="s">
        <v>1117</v>
      </c>
      <c r="B1458" s="9" t="s">
        <v>291</v>
      </c>
      <c r="C1458" s="4">
        <v>201000336</v>
      </c>
      <c r="D1458" s="4" t="s">
        <v>1187</v>
      </c>
      <c r="E1458" s="4" t="str">
        <f>"006372010"</f>
        <v>006372010</v>
      </c>
      <c r="F1458" s="10">
        <v>40112</v>
      </c>
      <c r="G1458" s="11">
        <v>350</v>
      </c>
      <c r="H1458" s="11">
        <v>0</v>
      </c>
      <c r="I1458" s="4"/>
      <c r="J1458" s="4"/>
      <c r="K1458" s="11">
        <v>0</v>
      </c>
      <c r="L1458" s="4"/>
      <c r="M1458" s="4"/>
      <c r="N1458" s="11">
        <v>350</v>
      </c>
      <c r="O1458" s="4" t="s">
        <v>308</v>
      </c>
      <c r="P1458" s="4" t="s">
        <v>309</v>
      </c>
      <c r="Q1458" s="11">
        <v>0</v>
      </c>
      <c r="R1458" s="4"/>
      <c r="S1458" s="12"/>
    </row>
    <row r="1459" spans="1:19" x14ac:dyDescent="0.25">
      <c r="A1459" s="9" t="s">
        <v>1117</v>
      </c>
      <c r="B1459" s="9" t="s">
        <v>291</v>
      </c>
      <c r="C1459" s="4">
        <v>201000341</v>
      </c>
      <c r="D1459" s="4" t="s">
        <v>1177</v>
      </c>
      <c r="E1459" s="4" t="str">
        <f>"006332010"</f>
        <v>006332010</v>
      </c>
      <c r="F1459" s="10">
        <v>40112</v>
      </c>
      <c r="G1459" s="11">
        <v>20.95</v>
      </c>
      <c r="H1459" s="11">
        <v>0</v>
      </c>
      <c r="I1459" s="4"/>
      <c r="J1459" s="4"/>
      <c r="K1459" s="11">
        <v>0</v>
      </c>
      <c r="L1459" s="4"/>
      <c r="M1459" s="4"/>
      <c r="N1459" s="11">
        <v>20.95</v>
      </c>
      <c r="O1459" s="4" t="s">
        <v>56</v>
      </c>
      <c r="P1459" s="4" t="s">
        <v>57</v>
      </c>
      <c r="Q1459" s="11">
        <v>0</v>
      </c>
      <c r="R1459" s="4"/>
      <c r="S1459" s="12"/>
    </row>
    <row r="1460" spans="1:19" x14ac:dyDescent="0.25">
      <c r="A1460" s="9" t="s">
        <v>1117</v>
      </c>
      <c r="B1460" s="9" t="s">
        <v>291</v>
      </c>
      <c r="C1460" s="4">
        <v>201000349</v>
      </c>
      <c r="D1460" s="4" t="s">
        <v>1177</v>
      </c>
      <c r="E1460" s="4" t="str">
        <f>"006452010"</f>
        <v>006452010</v>
      </c>
      <c r="F1460" s="10">
        <v>40115</v>
      </c>
      <c r="G1460" s="11">
        <v>352.25</v>
      </c>
      <c r="H1460" s="11">
        <v>0</v>
      </c>
      <c r="I1460" s="4"/>
      <c r="J1460" s="4"/>
      <c r="K1460" s="11">
        <v>0</v>
      </c>
      <c r="L1460" s="4"/>
      <c r="M1460" s="4"/>
      <c r="N1460" s="11">
        <v>352.25</v>
      </c>
      <c r="O1460" s="4" t="s">
        <v>308</v>
      </c>
      <c r="P1460" s="4" t="s">
        <v>309</v>
      </c>
      <c r="Q1460" s="11">
        <v>0</v>
      </c>
      <c r="R1460" s="4"/>
      <c r="S1460" s="12"/>
    </row>
    <row r="1461" spans="1:19" x14ac:dyDescent="0.25">
      <c r="A1461" s="9" t="s">
        <v>1117</v>
      </c>
      <c r="B1461" s="9" t="s">
        <v>291</v>
      </c>
      <c r="C1461" s="4">
        <v>201000354</v>
      </c>
      <c r="D1461" s="4" t="s">
        <v>1151</v>
      </c>
      <c r="E1461" s="4" t="str">
        <f>"006572010"</f>
        <v>006572010</v>
      </c>
      <c r="F1461" s="10">
        <v>40115</v>
      </c>
      <c r="G1461" s="11">
        <v>755.26</v>
      </c>
      <c r="H1461" s="11">
        <v>0</v>
      </c>
      <c r="I1461" s="4"/>
      <c r="J1461" s="4"/>
      <c r="K1461" s="11">
        <v>0</v>
      </c>
      <c r="L1461" s="4"/>
      <c r="M1461" s="4"/>
      <c r="N1461" s="11">
        <v>755.26</v>
      </c>
      <c r="O1461" s="4" t="s">
        <v>56</v>
      </c>
      <c r="P1461" s="4" t="s">
        <v>57</v>
      </c>
      <c r="Q1461" s="11">
        <v>0</v>
      </c>
      <c r="R1461" s="4"/>
      <c r="S1461" s="12"/>
    </row>
    <row r="1462" spans="1:19" x14ac:dyDescent="0.25">
      <c r="A1462" s="9" t="s">
        <v>1117</v>
      </c>
      <c r="B1462" s="9" t="s">
        <v>291</v>
      </c>
      <c r="C1462" s="4">
        <v>201000359</v>
      </c>
      <c r="D1462" s="4" t="s">
        <v>1165</v>
      </c>
      <c r="E1462" s="4" t="str">
        <f>"006672010"</f>
        <v>006672010</v>
      </c>
      <c r="F1462" s="10">
        <v>40115</v>
      </c>
      <c r="G1462" s="11">
        <v>350</v>
      </c>
      <c r="H1462" s="11">
        <v>0</v>
      </c>
      <c r="I1462" s="4"/>
      <c r="J1462" s="4"/>
      <c r="K1462" s="11">
        <v>0</v>
      </c>
      <c r="L1462" s="4"/>
      <c r="M1462" s="4"/>
      <c r="N1462" s="11">
        <v>350</v>
      </c>
      <c r="O1462" s="4" t="s">
        <v>56</v>
      </c>
      <c r="P1462" s="4" t="s">
        <v>57</v>
      </c>
      <c r="Q1462" s="11">
        <v>0</v>
      </c>
      <c r="R1462" s="4"/>
      <c r="S1462" s="12"/>
    </row>
    <row r="1463" spans="1:19" x14ac:dyDescent="0.25">
      <c r="A1463" s="9" t="s">
        <v>1117</v>
      </c>
      <c r="B1463" s="9" t="s">
        <v>291</v>
      </c>
      <c r="C1463" s="4">
        <v>201000366</v>
      </c>
      <c r="D1463" s="4" t="s">
        <v>1188</v>
      </c>
      <c r="E1463" s="4" t="str">
        <f>"006652010"</f>
        <v>006652010</v>
      </c>
      <c r="F1463" s="10">
        <v>40115</v>
      </c>
      <c r="G1463" s="11">
        <v>16.47</v>
      </c>
      <c r="H1463" s="11">
        <v>0</v>
      </c>
      <c r="I1463" s="4"/>
      <c r="J1463" s="4"/>
      <c r="K1463" s="11">
        <v>0</v>
      </c>
      <c r="L1463" s="4"/>
      <c r="M1463" s="4"/>
      <c r="N1463" s="11">
        <v>16.47</v>
      </c>
      <c r="O1463" s="4" t="s">
        <v>56</v>
      </c>
      <c r="P1463" s="4" t="s">
        <v>57</v>
      </c>
      <c r="Q1463" s="11">
        <v>0</v>
      </c>
      <c r="R1463" s="4"/>
      <c r="S1463" s="12"/>
    </row>
    <row r="1464" spans="1:19" x14ac:dyDescent="0.25">
      <c r="A1464" s="9" t="s">
        <v>1117</v>
      </c>
      <c r="B1464" s="9" t="s">
        <v>291</v>
      </c>
      <c r="C1464" s="4">
        <v>201000367</v>
      </c>
      <c r="D1464" s="4" t="s">
        <v>1161</v>
      </c>
      <c r="E1464" s="4" t="str">
        <f>"006892010"</f>
        <v>006892010</v>
      </c>
      <c r="F1464" s="10">
        <v>40115</v>
      </c>
      <c r="G1464" s="11">
        <v>16.47</v>
      </c>
      <c r="H1464" s="11">
        <v>0</v>
      </c>
      <c r="I1464" s="4"/>
      <c r="J1464" s="4"/>
      <c r="K1464" s="11">
        <v>0</v>
      </c>
      <c r="L1464" s="4"/>
      <c r="M1464" s="4"/>
      <c r="N1464" s="11">
        <v>16.47</v>
      </c>
      <c r="O1464" s="4" t="s">
        <v>308</v>
      </c>
      <c r="P1464" s="4" t="s">
        <v>309</v>
      </c>
      <c r="Q1464" s="11">
        <v>0</v>
      </c>
      <c r="R1464" s="4"/>
      <c r="S1464" s="12"/>
    </row>
    <row r="1465" spans="1:19" x14ac:dyDescent="0.25">
      <c r="A1465" s="9" t="s">
        <v>1117</v>
      </c>
      <c r="B1465" s="9" t="s">
        <v>291</v>
      </c>
      <c r="C1465" s="4">
        <v>201000383</v>
      </c>
      <c r="D1465" s="4" t="s">
        <v>1189</v>
      </c>
      <c r="E1465" s="4" t="str">
        <f>"007232010"</f>
        <v>007232010</v>
      </c>
      <c r="F1465" s="10">
        <v>40115</v>
      </c>
      <c r="G1465" s="11">
        <v>350</v>
      </c>
      <c r="H1465" s="11">
        <v>0</v>
      </c>
      <c r="I1465" s="4"/>
      <c r="J1465" s="4"/>
      <c r="K1465" s="11">
        <v>0</v>
      </c>
      <c r="L1465" s="4"/>
      <c r="M1465" s="4"/>
      <c r="N1465" s="11">
        <v>350</v>
      </c>
      <c r="O1465" s="4" t="s">
        <v>308</v>
      </c>
      <c r="P1465" s="4" t="s">
        <v>309</v>
      </c>
      <c r="Q1465" s="11">
        <v>0</v>
      </c>
      <c r="R1465" s="4"/>
      <c r="S1465" s="12"/>
    </row>
    <row r="1466" spans="1:19" x14ac:dyDescent="0.25">
      <c r="A1466" s="9" t="s">
        <v>1117</v>
      </c>
      <c r="B1466" s="9" t="s">
        <v>291</v>
      </c>
      <c r="C1466" s="4">
        <v>201000391</v>
      </c>
      <c r="D1466" s="4" t="s">
        <v>1190</v>
      </c>
      <c r="E1466" s="4" t="str">
        <f>"007312010"</f>
        <v>007312010</v>
      </c>
      <c r="F1466" s="10">
        <v>40115</v>
      </c>
      <c r="G1466" s="11">
        <v>350</v>
      </c>
      <c r="H1466" s="11">
        <v>0</v>
      </c>
      <c r="I1466" s="4"/>
      <c r="J1466" s="4"/>
      <c r="K1466" s="11">
        <v>0</v>
      </c>
      <c r="L1466" s="4"/>
      <c r="M1466" s="4"/>
      <c r="N1466" s="11">
        <v>350</v>
      </c>
      <c r="O1466" s="4" t="s">
        <v>56</v>
      </c>
      <c r="P1466" s="4" t="s">
        <v>57</v>
      </c>
      <c r="Q1466" s="11">
        <v>0</v>
      </c>
      <c r="R1466" s="4"/>
      <c r="S1466" s="12"/>
    </row>
    <row r="1467" spans="1:19" x14ac:dyDescent="0.25">
      <c r="A1467" s="9" t="s">
        <v>1117</v>
      </c>
      <c r="B1467" s="9" t="s">
        <v>291</v>
      </c>
      <c r="C1467" s="4">
        <v>201000407</v>
      </c>
      <c r="D1467" s="4" t="s">
        <v>1191</v>
      </c>
      <c r="E1467" s="4" t="str">
        <f>"009432010"</f>
        <v>009432010</v>
      </c>
      <c r="F1467" s="10">
        <v>40123</v>
      </c>
      <c r="G1467" s="11">
        <v>350</v>
      </c>
      <c r="H1467" s="11">
        <v>0</v>
      </c>
      <c r="I1467" s="4"/>
      <c r="J1467" s="4"/>
      <c r="K1467" s="11">
        <v>0</v>
      </c>
      <c r="L1467" s="4"/>
      <c r="M1467" s="4"/>
      <c r="N1467" s="11">
        <v>350</v>
      </c>
      <c r="O1467" s="4" t="s">
        <v>56</v>
      </c>
      <c r="P1467" s="4" t="s">
        <v>57</v>
      </c>
      <c r="Q1467" s="11">
        <v>0</v>
      </c>
      <c r="R1467" s="4"/>
      <c r="S1467" s="12"/>
    </row>
    <row r="1468" spans="1:19" x14ac:dyDescent="0.25">
      <c r="A1468" s="9" t="s">
        <v>1117</v>
      </c>
      <c r="B1468" s="9" t="s">
        <v>291</v>
      </c>
      <c r="C1468" s="4">
        <v>201000417</v>
      </c>
      <c r="D1468" s="4" t="s">
        <v>1192</v>
      </c>
      <c r="E1468" s="4" t="str">
        <f>"007552010"</f>
        <v>007552010</v>
      </c>
      <c r="F1468" s="10">
        <v>40119</v>
      </c>
      <c r="G1468" s="11">
        <v>385.76</v>
      </c>
      <c r="H1468" s="11">
        <v>0</v>
      </c>
      <c r="I1468" s="4"/>
      <c r="J1468" s="4"/>
      <c r="K1468" s="11">
        <v>0</v>
      </c>
      <c r="L1468" s="4"/>
      <c r="M1468" s="4"/>
      <c r="N1468" s="11">
        <v>385.76</v>
      </c>
      <c r="O1468" s="4" t="s">
        <v>308</v>
      </c>
      <c r="P1468" s="4" t="s">
        <v>309</v>
      </c>
      <c r="Q1468" s="11">
        <v>0</v>
      </c>
      <c r="R1468" s="4"/>
      <c r="S1468" s="12"/>
    </row>
    <row r="1469" spans="1:19" x14ac:dyDescent="0.25">
      <c r="A1469" s="9" t="s">
        <v>1117</v>
      </c>
      <c r="B1469" s="9" t="s">
        <v>291</v>
      </c>
      <c r="C1469" s="4">
        <v>201000418</v>
      </c>
      <c r="D1469" s="4" t="s">
        <v>1140</v>
      </c>
      <c r="E1469" s="4" t="str">
        <f>"007532010"</f>
        <v>007532010</v>
      </c>
      <c r="F1469" s="10">
        <v>40119</v>
      </c>
      <c r="G1469" s="11">
        <v>350</v>
      </c>
      <c r="H1469" s="11">
        <v>0</v>
      </c>
      <c r="I1469" s="4"/>
      <c r="J1469" s="4"/>
      <c r="K1469" s="11">
        <v>0</v>
      </c>
      <c r="L1469" s="4"/>
      <c r="M1469" s="4"/>
      <c r="N1469" s="11">
        <v>350</v>
      </c>
      <c r="O1469" s="4" t="s">
        <v>308</v>
      </c>
      <c r="P1469" s="4" t="s">
        <v>309</v>
      </c>
      <c r="Q1469" s="11">
        <v>0</v>
      </c>
      <c r="R1469" s="4"/>
      <c r="S1469" s="12"/>
    </row>
    <row r="1470" spans="1:19" x14ac:dyDescent="0.25">
      <c r="A1470" s="9" t="s">
        <v>1117</v>
      </c>
      <c r="B1470" s="9" t="s">
        <v>291</v>
      </c>
      <c r="C1470" s="4">
        <v>201000424</v>
      </c>
      <c r="D1470" s="4" t="s">
        <v>1193</v>
      </c>
      <c r="E1470" s="4" t="str">
        <f>"007732010"</f>
        <v>007732010</v>
      </c>
      <c r="F1470" s="10">
        <v>40120</v>
      </c>
      <c r="G1470" s="11">
        <v>350</v>
      </c>
      <c r="H1470" s="11">
        <v>0</v>
      </c>
      <c r="I1470" s="4"/>
      <c r="J1470" s="4"/>
      <c r="K1470" s="11">
        <v>0</v>
      </c>
      <c r="L1470" s="4"/>
      <c r="M1470" s="4"/>
      <c r="N1470" s="11">
        <v>350</v>
      </c>
      <c r="O1470" s="4" t="s">
        <v>56</v>
      </c>
      <c r="P1470" s="4" t="s">
        <v>57</v>
      </c>
      <c r="Q1470" s="11">
        <v>0</v>
      </c>
      <c r="R1470" s="4"/>
      <c r="S1470" s="12"/>
    </row>
    <row r="1471" spans="1:19" x14ac:dyDescent="0.25">
      <c r="A1471" s="9" t="s">
        <v>1117</v>
      </c>
      <c r="B1471" s="9" t="s">
        <v>291</v>
      </c>
      <c r="C1471" s="4">
        <v>201000426</v>
      </c>
      <c r="D1471" s="4" t="s">
        <v>1163</v>
      </c>
      <c r="E1471" s="4" t="str">
        <f>"007772010"</f>
        <v>007772010</v>
      </c>
      <c r="F1471" s="10">
        <v>40120</v>
      </c>
      <c r="G1471" s="11">
        <v>350</v>
      </c>
      <c r="H1471" s="11">
        <v>0</v>
      </c>
      <c r="I1471" s="4"/>
      <c r="J1471" s="4"/>
      <c r="K1471" s="11">
        <v>0</v>
      </c>
      <c r="L1471" s="4"/>
      <c r="M1471" s="4"/>
      <c r="N1471" s="11">
        <v>350</v>
      </c>
      <c r="O1471" s="4" t="s">
        <v>56</v>
      </c>
      <c r="P1471" s="4" t="s">
        <v>57</v>
      </c>
      <c r="Q1471" s="11">
        <v>0</v>
      </c>
      <c r="R1471" s="4"/>
      <c r="S1471" s="12"/>
    </row>
    <row r="1472" spans="1:19" x14ac:dyDescent="0.25">
      <c r="A1472" s="9" t="s">
        <v>1117</v>
      </c>
      <c r="B1472" s="9" t="s">
        <v>291</v>
      </c>
      <c r="C1472" s="4">
        <v>201000427</v>
      </c>
      <c r="D1472" s="4" t="s">
        <v>1194</v>
      </c>
      <c r="E1472" s="4" t="str">
        <f>"007792010"</f>
        <v>007792010</v>
      </c>
      <c r="F1472" s="10">
        <v>40120</v>
      </c>
      <c r="G1472" s="11">
        <v>350</v>
      </c>
      <c r="H1472" s="11">
        <v>0</v>
      </c>
      <c r="I1472" s="4"/>
      <c r="J1472" s="4"/>
      <c r="K1472" s="11">
        <v>0</v>
      </c>
      <c r="L1472" s="4"/>
      <c r="M1472" s="4"/>
      <c r="N1472" s="11">
        <v>350</v>
      </c>
      <c r="O1472" s="4" t="s">
        <v>56</v>
      </c>
      <c r="P1472" s="4" t="s">
        <v>57</v>
      </c>
      <c r="Q1472" s="11">
        <v>0</v>
      </c>
      <c r="R1472" s="4"/>
      <c r="S1472" s="12"/>
    </row>
    <row r="1473" spans="1:19" x14ac:dyDescent="0.25">
      <c r="A1473" s="9" t="s">
        <v>1117</v>
      </c>
      <c r="B1473" s="9" t="s">
        <v>291</v>
      </c>
      <c r="C1473" s="4">
        <v>201000428</v>
      </c>
      <c r="D1473" s="4" t="s">
        <v>1195</v>
      </c>
      <c r="E1473" s="4" t="str">
        <f>"007852010"</f>
        <v>007852010</v>
      </c>
      <c r="F1473" s="10">
        <v>40120</v>
      </c>
      <c r="G1473" s="11">
        <v>350</v>
      </c>
      <c r="H1473" s="11">
        <v>0</v>
      </c>
      <c r="I1473" s="4"/>
      <c r="J1473" s="4"/>
      <c r="K1473" s="11">
        <v>0</v>
      </c>
      <c r="L1473" s="4"/>
      <c r="M1473" s="4"/>
      <c r="N1473" s="11">
        <v>350</v>
      </c>
      <c r="O1473" s="4" t="s">
        <v>56</v>
      </c>
      <c r="P1473" s="4" t="s">
        <v>57</v>
      </c>
      <c r="Q1473" s="11">
        <v>0</v>
      </c>
      <c r="R1473" s="4"/>
      <c r="S1473" s="12"/>
    </row>
    <row r="1474" spans="1:19" x14ac:dyDescent="0.25">
      <c r="A1474" s="9" t="s">
        <v>1117</v>
      </c>
      <c r="B1474" s="9" t="s">
        <v>291</v>
      </c>
      <c r="C1474" s="4">
        <v>201000429</v>
      </c>
      <c r="D1474" s="4" t="s">
        <v>1196</v>
      </c>
      <c r="E1474" s="4" t="str">
        <f>"007832010"</f>
        <v>007832010</v>
      </c>
      <c r="F1474" s="10">
        <v>40120</v>
      </c>
      <c r="G1474" s="11">
        <v>350</v>
      </c>
      <c r="H1474" s="11">
        <v>0</v>
      </c>
      <c r="I1474" s="4"/>
      <c r="J1474" s="4"/>
      <c r="K1474" s="11">
        <v>0</v>
      </c>
      <c r="L1474" s="4"/>
      <c r="M1474" s="4"/>
      <c r="N1474" s="11">
        <v>350</v>
      </c>
      <c r="O1474" s="4" t="s">
        <v>56</v>
      </c>
      <c r="P1474" s="4" t="s">
        <v>57</v>
      </c>
      <c r="Q1474" s="11">
        <v>0</v>
      </c>
      <c r="R1474" s="4"/>
      <c r="S1474" s="12"/>
    </row>
    <row r="1475" spans="1:19" x14ac:dyDescent="0.25">
      <c r="A1475" s="9" t="s">
        <v>1117</v>
      </c>
      <c r="B1475" s="9" t="s">
        <v>291</v>
      </c>
      <c r="C1475" s="4">
        <v>201000430</v>
      </c>
      <c r="D1475" s="4" t="s">
        <v>1197</v>
      </c>
      <c r="E1475" s="4" t="str">
        <f>"007992010"</f>
        <v>007992010</v>
      </c>
      <c r="F1475" s="10">
        <v>40120</v>
      </c>
      <c r="G1475" s="11">
        <v>350</v>
      </c>
      <c r="H1475" s="11">
        <v>0</v>
      </c>
      <c r="I1475" s="4"/>
      <c r="J1475" s="4"/>
      <c r="K1475" s="11">
        <v>0</v>
      </c>
      <c r="L1475" s="4"/>
      <c r="M1475" s="4"/>
      <c r="N1475" s="11">
        <v>350</v>
      </c>
      <c r="O1475" s="4" t="s">
        <v>56</v>
      </c>
      <c r="P1475" s="4" t="s">
        <v>57</v>
      </c>
      <c r="Q1475" s="11">
        <v>0</v>
      </c>
      <c r="R1475" s="4"/>
      <c r="S1475" s="12"/>
    </row>
    <row r="1476" spans="1:19" x14ac:dyDescent="0.25">
      <c r="A1476" s="9" t="s">
        <v>1117</v>
      </c>
      <c r="B1476" s="9" t="s">
        <v>291</v>
      </c>
      <c r="C1476" s="4">
        <v>201000437</v>
      </c>
      <c r="D1476" s="4" t="s">
        <v>1198</v>
      </c>
      <c r="E1476" s="4" t="str">
        <f>"008172010"</f>
        <v>008172010</v>
      </c>
      <c r="F1476" s="10">
        <v>40120</v>
      </c>
      <c r="G1476" s="11">
        <v>350</v>
      </c>
      <c r="H1476" s="11">
        <v>0</v>
      </c>
      <c r="I1476" s="4"/>
      <c r="J1476" s="4"/>
      <c r="K1476" s="11">
        <v>0</v>
      </c>
      <c r="L1476" s="4"/>
      <c r="M1476" s="4"/>
      <c r="N1476" s="11">
        <v>350</v>
      </c>
      <c r="O1476" s="4" t="s">
        <v>56</v>
      </c>
      <c r="P1476" s="4" t="s">
        <v>57</v>
      </c>
      <c r="Q1476" s="11">
        <v>0</v>
      </c>
      <c r="R1476" s="4"/>
      <c r="S1476" s="12"/>
    </row>
    <row r="1477" spans="1:19" x14ac:dyDescent="0.25">
      <c r="A1477" s="9" t="s">
        <v>1117</v>
      </c>
      <c r="B1477" s="9" t="s">
        <v>291</v>
      </c>
      <c r="C1477" s="4">
        <v>201000439</v>
      </c>
      <c r="D1477" s="4" t="s">
        <v>1170</v>
      </c>
      <c r="E1477" s="4" t="str">
        <f>"008072010"</f>
        <v>008072010</v>
      </c>
      <c r="F1477" s="10">
        <v>40120</v>
      </c>
      <c r="G1477" s="11">
        <v>7</v>
      </c>
      <c r="H1477" s="11">
        <v>0</v>
      </c>
      <c r="I1477" s="4"/>
      <c r="J1477" s="4"/>
      <c r="K1477" s="11">
        <v>0</v>
      </c>
      <c r="L1477" s="4"/>
      <c r="M1477" s="4"/>
      <c r="N1477" s="11">
        <v>7</v>
      </c>
      <c r="O1477" s="4" t="s">
        <v>308</v>
      </c>
      <c r="P1477" s="4" t="s">
        <v>309</v>
      </c>
      <c r="Q1477" s="11">
        <v>0</v>
      </c>
      <c r="R1477" s="4"/>
      <c r="S1477" s="12"/>
    </row>
    <row r="1478" spans="1:19" x14ac:dyDescent="0.25">
      <c r="A1478" s="9" t="s">
        <v>1117</v>
      </c>
      <c r="B1478" s="9" t="s">
        <v>291</v>
      </c>
      <c r="C1478" s="4">
        <v>201000443</v>
      </c>
      <c r="D1478" s="4" t="s">
        <v>1170</v>
      </c>
      <c r="E1478" s="4" t="str">
        <f>"008112010"</f>
        <v>008112010</v>
      </c>
      <c r="F1478" s="10">
        <v>40120</v>
      </c>
      <c r="G1478" s="11">
        <v>7</v>
      </c>
      <c r="H1478" s="11">
        <v>0</v>
      </c>
      <c r="I1478" s="4"/>
      <c r="J1478" s="4"/>
      <c r="K1478" s="11">
        <v>0</v>
      </c>
      <c r="L1478" s="4"/>
      <c r="M1478" s="4"/>
      <c r="N1478" s="11">
        <v>7</v>
      </c>
      <c r="O1478" s="4" t="s">
        <v>308</v>
      </c>
      <c r="P1478" s="4" t="s">
        <v>309</v>
      </c>
      <c r="Q1478" s="11">
        <v>0</v>
      </c>
      <c r="R1478" s="4"/>
      <c r="S1478" s="12"/>
    </row>
    <row r="1479" spans="1:19" x14ac:dyDescent="0.25">
      <c r="A1479" s="9" t="s">
        <v>1117</v>
      </c>
      <c r="B1479" s="9" t="s">
        <v>291</v>
      </c>
      <c r="C1479" s="4">
        <v>201000464</v>
      </c>
      <c r="D1479" s="4" t="s">
        <v>1199</v>
      </c>
      <c r="E1479" s="4" t="str">
        <f>"008492010"</f>
        <v>008492010</v>
      </c>
      <c r="F1479" s="10">
        <v>40120</v>
      </c>
      <c r="G1479" s="11">
        <v>350</v>
      </c>
      <c r="H1479" s="11">
        <v>0</v>
      </c>
      <c r="I1479" s="4"/>
      <c r="J1479" s="4"/>
      <c r="K1479" s="11">
        <v>0</v>
      </c>
      <c r="L1479" s="4"/>
      <c r="M1479" s="4"/>
      <c r="N1479" s="11">
        <v>350</v>
      </c>
      <c r="O1479" s="4" t="s">
        <v>56</v>
      </c>
      <c r="P1479" s="4" t="s">
        <v>57</v>
      </c>
      <c r="Q1479" s="11">
        <v>0</v>
      </c>
      <c r="R1479" s="4"/>
      <c r="S1479" s="12"/>
    </row>
    <row r="1480" spans="1:19" x14ac:dyDescent="0.25">
      <c r="A1480" s="9" t="s">
        <v>1117</v>
      </c>
      <c r="B1480" s="9" t="s">
        <v>291</v>
      </c>
      <c r="C1480" s="4">
        <v>201000466</v>
      </c>
      <c r="D1480" s="4" t="s">
        <v>2534</v>
      </c>
      <c r="E1480" s="4" t="str">
        <f>"008692010"</f>
        <v>008692010</v>
      </c>
      <c r="F1480" s="10">
        <v>40120</v>
      </c>
      <c r="G1480" s="11">
        <v>9000</v>
      </c>
      <c r="H1480" s="11">
        <v>0</v>
      </c>
      <c r="I1480" s="4"/>
      <c r="J1480" s="4"/>
      <c r="K1480" s="11">
        <v>9000</v>
      </c>
      <c r="L1480" s="4" t="s">
        <v>714</v>
      </c>
      <c r="M1480" s="4" t="s">
        <v>715</v>
      </c>
      <c r="N1480" s="11">
        <v>0</v>
      </c>
      <c r="O1480" s="4"/>
      <c r="P1480" s="4"/>
      <c r="Q1480" s="11">
        <v>0</v>
      </c>
      <c r="R1480" s="4"/>
      <c r="S1480" s="12"/>
    </row>
    <row r="1481" spans="1:19" x14ac:dyDescent="0.25">
      <c r="A1481" s="9" t="s">
        <v>1117</v>
      </c>
      <c r="B1481" s="9" t="s">
        <v>291</v>
      </c>
      <c r="C1481" s="4">
        <v>201000467</v>
      </c>
      <c r="D1481" s="4" t="s">
        <v>1200</v>
      </c>
      <c r="E1481" s="4" t="str">
        <f>"008512010"</f>
        <v>008512010</v>
      </c>
      <c r="F1481" s="10">
        <v>40120</v>
      </c>
      <c r="G1481" s="11">
        <v>366.3</v>
      </c>
      <c r="H1481" s="11">
        <v>0</v>
      </c>
      <c r="I1481" s="4"/>
      <c r="J1481" s="4"/>
      <c r="K1481" s="11">
        <v>0</v>
      </c>
      <c r="L1481" s="4"/>
      <c r="M1481" s="4"/>
      <c r="N1481" s="11">
        <v>366.3</v>
      </c>
      <c r="O1481" s="4" t="s">
        <v>56</v>
      </c>
      <c r="P1481" s="4" t="s">
        <v>57</v>
      </c>
      <c r="Q1481" s="11">
        <v>0</v>
      </c>
      <c r="R1481" s="4"/>
      <c r="S1481" s="12"/>
    </row>
    <row r="1482" spans="1:19" x14ac:dyDescent="0.25">
      <c r="A1482" s="9" t="s">
        <v>1117</v>
      </c>
      <c r="B1482" s="9" t="s">
        <v>291</v>
      </c>
      <c r="C1482" s="4">
        <v>201000468</v>
      </c>
      <c r="D1482" s="4" t="s">
        <v>1201</v>
      </c>
      <c r="E1482" s="4" t="str">
        <f>"008532010"</f>
        <v>008532010</v>
      </c>
      <c r="F1482" s="10">
        <v>40120</v>
      </c>
      <c r="G1482" s="11">
        <v>350</v>
      </c>
      <c r="H1482" s="11">
        <v>0</v>
      </c>
      <c r="I1482" s="4"/>
      <c r="J1482" s="4"/>
      <c r="K1482" s="11">
        <v>0</v>
      </c>
      <c r="L1482" s="4"/>
      <c r="M1482" s="4"/>
      <c r="N1482" s="11">
        <v>350</v>
      </c>
      <c r="O1482" s="4" t="s">
        <v>56</v>
      </c>
      <c r="P1482" s="4" t="s">
        <v>57</v>
      </c>
      <c r="Q1482" s="11">
        <v>0</v>
      </c>
      <c r="R1482" s="4"/>
      <c r="S1482" s="12"/>
    </row>
    <row r="1483" spans="1:19" x14ac:dyDescent="0.25">
      <c r="A1483" s="9" t="s">
        <v>1117</v>
      </c>
      <c r="B1483" s="9" t="s">
        <v>291</v>
      </c>
      <c r="C1483" s="4">
        <v>201000485</v>
      </c>
      <c r="D1483" s="4" t="s">
        <v>1202</v>
      </c>
      <c r="E1483" s="4" t="str">
        <f>"009132010"</f>
        <v>009132010</v>
      </c>
      <c r="F1483" s="10">
        <v>40123</v>
      </c>
      <c r="G1483" s="11">
        <v>350</v>
      </c>
      <c r="H1483" s="11">
        <v>0</v>
      </c>
      <c r="I1483" s="4"/>
      <c r="J1483" s="4"/>
      <c r="K1483" s="11">
        <v>0</v>
      </c>
      <c r="L1483" s="4"/>
      <c r="M1483" s="4"/>
      <c r="N1483" s="11">
        <v>350</v>
      </c>
      <c r="O1483" s="4" t="s">
        <v>308</v>
      </c>
      <c r="P1483" s="4" t="s">
        <v>309</v>
      </c>
      <c r="Q1483" s="11">
        <v>0</v>
      </c>
      <c r="R1483" s="4"/>
      <c r="S1483" s="12"/>
    </row>
    <row r="1484" spans="1:19" x14ac:dyDescent="0.25">
      <c r="A1484" s="9" t="s">
        <v>1117</v>
      </c>
      <c r="B1484" s="9" t="s">
        <v>291</v>
      </c>
      <c r="C1484" s="4">
        <v>201000487</v>
      </c>
      <c r="D1484" s="4" t="s">
        <v>1203</v>
      </c>
      <c r="E1484" s="4" t="str">
        <f>"009152010"</f>
        <v>009152010</v>
      </c>
      <c r="F1484" s="10">
        <v>40122</v>
      </c>
      <c r="G1484" s="11">
        <v>350</v>
      </c>
      <c r="H1484" s="11">
        <v>0</v>
      </c>
      <c r="I1484" s="4"/>
      <c r="J1484" s="4"/>
      <c r="K1484" s="11">
        <v>0</v>
      </c>
      <c r="L1484" s="4"/>
      <c r="M1484" s="4"/>
      <c r="N1484" s="11">
        <v>350</v>
      </c>
      <c r="O1484" s="4" t="s">
        <v>308</v>
      </c>
      <c r="P1484" s="4" t="s">
        <v>309</v>
      </c>
      <c r="Q1484" s="11">
        <v>0</v>
      </c>
      <c r="R1484" s="4"/>
      <c r="S1484" s="12"/>
    </row>
    <row r="1485" spans="1:19" x14ac:dyDescent="0.25">
      <c r="A1485" s="9" t="s">
        <v>1117</v>
      </c>
      <c r="B1485" s="9" t="s">
        <v>291</v>
      </c>
      <c r="C1485" s="4">
        <v>201000491</v>
      </c>
      <c r="D1485" s="4" t="s">
        <v>1204</v>
      </c>
      <c r="E1485" s="4" t="str">
        <f>"008912010"</f>
        <v>008912010</v>
      </c>
      <c r="F1485" s="10">
        <v>40121</v>
      </c>
      <c r="G1485" s="11">
        <v>350</v>
      </c>
      <c r="H1485" s="11">
        <v>0</v>
      </c>
      <c r="I1485" s="4"/>
      <c r="J1485" s="4"/>
      <c r="K1485" s="11">
        <v>0</v>
      </c>
      <c r="L1485" s="4"/>
      <c r="M1485" s="4"/>
      <c r="N1485" s="11">
        <v>350</v>
      </c>
      <c r="O1485" s="4" t="s">
        <v>56</v>
      </c>
      <c r="P1485" s="4" t="s">
        <v>57</v>
      </c>
      <c r="Q1485" s="11">
        <v>0</v>
      </c>
      <c r="R1485" s="4"/>
      <c r="S1485" s="12"/>
    </row>
    <row r="1486" spans="1:19" x14ac:dyDescent="0.25">
      <c r="A1486" s="9" t="s">
        <v>1117</v>
      </c>
      <c r="B1486" s="9" t="s">
        <v>291</v>
      </c>
      <c r="C1486" s="4">
        <v>201000502</v>
      </c>
      <c r="D1486" s="4" t="s">
        <v>1163</v>
      </c>
      <c r="E1486" s="4" t="str">
        <f>"009272010"</f>
        <v>009272010</v>
      </c>
      <c r="F1486" s="10">
        <v>40123</v>
      </c>
      <c r="G1486" s="11">
        <v>350</v>
      </c>
      <c r="H1486" s="11">
        <v>0</v>
      </c>
      <c r="I1486" s="4"/>
      <c r="J1486" s="4"/>
      <c r="K1486" s="11">
        <v>0</v>
      </c>
      <c r="L1486" s="4"/>
      <c r="M1486" s="4"/>
      <c r="N1486" s="11">
        <v>350</v>
      </c>
      <c r="O1486" s="4" t="s">
        <v>56</v>
      </c>
      <c r="P1486" s="4" t="s">
        <v>57</v>
      </c>
      <c r="Q1486" s="11">
        <v>0</v>
      </c>
      <c r="R1486" s="4"/>
      <c r="S1486" s="12"/>
    </row>
    <row r="1487" spans="1:19" x14ac:dyDescent="0.25">
      <c r="A1487" s="9" t="s">
        <v>1117</v>
      </c>
      <c r="B1487" s="9" t="s">
        <v>291</v>
      </c>
      <c r="C1487" s="4">
        <v>201000513</v>
      </c>
      <c r="D1487" s="4" t="s">
        <v>1205</v>
      </c>
      <c r="E1487" s="4" t="str">
        <f>"009252010"</f>
        <v>009252010</v>
      </c>
      <c r="F1487" s="10">
        <v>40123</v>
      </c>
      <c r="G1487" s="11">
        <v>31.6</v>
      </c>
      <c r="H1487" s="11">
        <v>0</v>
      </c>
      <c r="I1487" s="4"/>
      <c r="J1487" s="4"/>
      <c r="K1487" s="11">
        <v>0</v>
      </c>
      <c r="L1487" s="4"/>
      <c r="M1487" s="4"/>
      <c r="N1487" s="11">
        <v>31.6</v>
      </c>
      <c r="O1487" s="4" t="s">
        <v>56</v>
      </c>
      <c r="P1487" s="4" t="s">
        <v>57</v>
      </c>
      <c r="Q1487" s="11">
        <v>0</v>
      </c>
      <c r="R1487" s="4"/>
      <c r="S1487" s="12"/>
    </row>
    <row r="1488" spans="1:19" x14ac:dyDescent="0.25">
      <c r="A1488" s="9" t="s">
        <v>1117</v>
      </c>
      <c r="B1488" s="9" t="s">
        <v>291</v>
      </c>
      <c r="C1488" s="4">
        <v>201000541</v>
      </c>
      <c r="D1488" s="4" t="s">
        <v>1206</v>
      </c>
      <c r="E1488" s="4" t="str">
        <f>"010032010"</f>
        <v>010032010</v>
      </c>
      <c r="F1488" s="10">
        <v>40123</v>
      </c>
      <c r="G1488" s="11">
        <v>350</v>
      </c>
      <c r="H1488" s="11">
        <v>0</v>
      </c>
      <c r="I1488" s="4"/>
      <c r="J1488" s="4"/>
      <c r="K1488" s="11">
        <v>0</v>
      </c>
      <c r="L1488" s="4"/>
      <c r="M1488" s="4"/>
      <c r="N1488" s="11">
        <v>350</v>
      </c>
      <c r="O1488" s="4" t="s">
        <v>56</v>
      </c>
      <c r="P1488" s="4" t="s">
        <v>57</v>
      </c>
      <c r="Q1488" s="11">
        <v>0</v>
      </c>
      <c r="R1488" s="4"/>
      <c r="S1488" s="12"/>
    </row>
    <row r="1489" spans="1:19" x14ac:dyDescent="0.25">
      <c r="A1489" s="9" t="s">
        <v>1117</v>
      </c>
      <c r="B1489" s="9" t="s">
        <v>291</v>
      </c>
      <c r="C1489" s="4">
        <v>201000553</v>
      </c>
      <c r="D1489" s="4" t="s">
        <v>1207</v>
      </c>
      <c r="E1489" s="4" t="str">
        <f>"013332010"</f>
        <v>013332010</v>
      </c>
      <c r="F1489" s="10">
        <v>40137</v>
      </c>
      <c r="G1489" s="11">
        <v>350</v>
      </c>
      <c r="H1489" s="11">
        <v>0</v>
      </c>
      <c r="I1489" s="4"/>
      <c r="J1489" s="4"/>
      <c r="K1489" s="11">
        <v>0</v>
      </c>
      <c r="L1489" s="4"/>
      <c r="M1489" s="4"/>
      <c r="N1489" s="11">
        <v>350</v>
      </c>
      <c r="O1489" s="4" t="s">
        <v>56</v>
      </c>
      <c r="P1489" s="4" t="s">
        <v>57</v>
      </c>
      <c r="Q1489" s="11">
        <v>0</v>
      </c>
      <c r="R1489" s="4"/>
      <c r="S1489" s="12"/>
    </row>
    <row r="1490" spans="1:19" x14ac:dyDescent="0.25">
      <c r="A1490" s="9" t="s">
        <v>1117</v>
      </c>
      <c r="B1490" s="9" t="s">
        <v>291</v>
      </c>
      <c r="C1490" s="4">
        <v>201000556</v>
      </c>
      <c r="D1490" s="4" t="s">
        <v>1208</v>
      </c>
      <c r="E1490" s="4" t="str">
        <f>"013982010"</f>
        <v>013982010</v>
      </c>
      <c r="F1490" s="10">
        <v>40141</v>
      </c>
      <c r="G1490" s="11">
        <v>371</v>
      </c>
      <c r="H1490" s="11">
        <v>0</v>
      </c>
      <c r="I1490" s="4"/>
      <c r="J1490" s="4"/>
      <c r="K1490" s="11">
        <v>0</v>
      </c>
      <c r="L1490" s="4"/>
      <c r="M1490" s="4"/>
      <c r="N1490" s="11">
        <v>371</v>
      </c>
      <c r="O1490" s="4" t="s">
        <v>56</v>
      </c>
      <c r="P1490" s="4" t="s">
        <v>57</v>
      </c>
      <c r="Q1490" s="11">
        <v>0</v>
      </c>
      <c r="R1490" s="4"/>
      <c r="S1490" s="12"/>
    </row>
    <row r="1491" spans="1:19" x14ac:dyDescent="0.25">
      <c r="A1491" s="9" t="s">
        <v>1117</v>
      </c>
      <c r="B1491" s="9" t="s">
        <v>291</v>
      </c>
      <c r="C1491" s="4">
        <v>201000560</v>
      </c>
      <c r="D1491" s="4" t="s">
        <v>1209</v>
      </c>
      <c r="E1491" s="4" t="str">
        <f>"010312010"</f>
        <v>010312010</v>
      </c>
      <c r="F1491" s="10">
        <v>40126</v>
      </c>
      <c r="G1491" s="11">
        <v>410</v>
      </c>
      <c r="H1491" s="11">
        <v>0</v>
      </c>
      <c r="I1491" s="4"/>
      <c r="J1491" s="4"/>
      <c r="K1491" s="11">
        <v>0</v>
      </c>
      <c r="L1491" s="4"/>
      <c r="M1491" s="4"/>
      <c r="N1491" s="11">
        <v>410</v>
      </c>
      <c r="O1491" s="4" t="s">
        <v>56</v>
      </c>
      <c r="P1491" s="4" t="s">
        <v>57</v>
      </c>
      <c r="Q1491" s="11">
        <v>0</v>
      </c>
      <c r="R1491" s="4"/>
      <c r="S1491" s="12"/>
    </row>
    <row r="1492" spans="1:19" x14ac:dyDescent="0.25">
      <c r="A1492" s="9" t="s">
        <v>1117</v>
      </c>
      <c r="B1492" s="9" t="s">
        <v>291</v>
      </c>
      <c r="C1492" s="4">
        <v>201000569</v>
      </c>
      <c r="D1492" s="4" t="s">
        <v>1210</v>
      </c>
      <c r="E1492" s="4" t="str">
        <f>"010872010"</f>
        <v>010872010</v>
      </c>
      <c r="F1492" s="10">
        <v>40127</v>
      </c>
      <c r="G1492" s="11">
        <v>367.36</v>
      </c>
      <c r="H1492" s="11">
        <v>0</v>
      </c>
      <c r="I1492" s="4"/>
      <c r="J1492" s="4"/>
      <c r="K1492" s="11">
        <v>0</v>
      </c>
      <c r="L1492" s="4"/>
      <c r="M1492" s="4"/>
      <c r="N1492" s="11">
        <v>367.36</v>
      </c>
      <c r="O1492" s="4" t="s">
        <v>56</v>
      </c>
      <c r="P1492" s="4" t="s">
        <v>57</v>
      </c>
      <c r="Q1492" s="11">
        <v>0</v>
      </c>
      <c r="R1492" s="4"/>
      <c r="S1492" s="12"/>
    </row>
    <row r="1493" spans="1:19" x14ac:dyDescent="0.25">
      <c r="A1493" s="9" t="s">
        <v>1117</v>
      </c>
      <c r="B1493" s="9" t="s">
        <v>291</v>
      </c>
      <c r="C1493" s="4">
        <v>201000570</v>
      </c>
      <c r="D1493" s="4" t="s">
        <v>1211</v>
      </c>
      <c r="E1493" s="4" t="str">
        <f>"010912010"</f>
        <v>010912010</v>
      </c>
      <c r="F1493" s="10">
        <v>40129</v>
      </c>
      <c r="G1493" s="11">
        <v>350</v>
      </c>
      <c r="H1493" s="11">
        <v>0</v>
      </c>
      <c r="I1493" s="4"/>
      <c r="J1493" s="4"/>
      <c r="K1493" s="11">
        <v>0</v>
      </c>
      <c r="L1493" s="4"/>
      <c r="M1493" s="4"/>
      <c r="N1493" s="11">
        <v>350</v>
      </c>
      <c r="O1493" s="4" t="s">
        <v>56</v>
      </c>
      <c r="P1493" s="4" t="s">
        <v>57</v>
      </c>
      <c r="Q1493" s="11">
        <v>0</v>
      </c>
      <c r="R1493" s="4"/>
      <c r="S1493" s="12"/>
    </row>
    <row r="1494" spans="1:19" x14ac:dyDescent="0.25">
      <c r="A1494" s="9" t="s">
        <v>1117</v>
      </c>
      <c r="B1494" s="9" t="s">
        <v>291</v>
      </c>
      <c r="C1494" s="4">
        <v>201000578</v>
      </c>
      <c r="D1494" s="4" t="s">
        <v>1212</v>
      </c>
      <c r="E1494" s="4" t="str">
        <f>"010492010"</f>
        <v>010492010</v>
      </c>
      <c r="F1494" s="10">
        <v>40126</v>
      </c>
      <c r="G1494" s="11">
        <v>350</v>
      </c>
      <c r="H1494" s="11">
        <v>0</v>
      </c>
      <c r="I1494" s="4"/>
      <c r="J1494" s="4"/>
      <c r="K1494" s="11">
        <v>0</v>
      </c>
      <c r="L1494" s="4"/>
      <c r="M1494" s="4"/>
      <c r="N1494" s="11">
        <v>350</v>
      </c>
      <c r="O1494" s="4" t="s">
        <v>56</v>
      </c>
      <c r="P1494" s="4" t="s">
        <v>57</v>
      </c>
      <c r="Q1494" s="11">
        <v>0</v>
      </c>
      <c r="R1494" s="4"/>
      <c r="S1494" s="12"/>
    </row>
    <row r="1495" spans="1:19" x14ac:dyDescent="0.25">
      <c r="A1495" s="9" t="s">
        <v>1117</v>
      </c>
      <c r="B1495" s="9" t="s">
        <v>291</v>
      </c>
      <c r="C1495" s="4">
        <v>201000591</v>
      </c>
      <c r="D1495" s="4" t="s">
        <v>1213</v>
      </c>
      <c r="E1495" s="4" t="str">
        <f>"010752010"</f>
        <v>010752010</v>
      </c>
      <c r="F1495" s="10">
        <v>40127</v>
      </c>
      <c r="G1495" s="11">
        <v>350</v>
      </c>
      <c r="H1495" s="11">
        <v>0</v>
      </c>
      <c r="I1495" s="4"/>
      <c r="J1495" s="4"/>
      <c r="K1495" s="11">
        <v>0</v>
      </c>
      <c r="L1495" s="4"/>
      <c r="M1495" s="4"/>
      <c r="N1495" s="11">
        <v>350</v>
      </c>
      <c r="O1495" s="4" t="s">
        <v>56</v>
      </c>
      <c r="P1495" s="4" t="s">
        <v>57</v>
      </c>
      <c r="Q1495" s="11">
        <v>0</v>
      </c>
      <c r="R1495" s="4"/>
      <c r="S1495" s="12"/>
    </row>
    <row r="1496" spans="1:19" x14ac:dyDescent="0.25">
      <c r="A1496" s="9" t="s">
        <v>1117</v>
      </c>
      <c r="B1496" s="9" t="s">
        <v>291</v>
      </c>
      <c r="C1496" s="4">
        <v>201000596</v>
      </c>
      <c r="D1496" s="4" t="s">
        <v>1214</v>
      </c>
      <c r="E1496" s="4" t="str">
        <f>"011232010"</f>
        <v>011232010</v>
      </c>
      <c r="F1496" s="10">
        <v>40129</v>
      </c>
      <c r="G1496" s="11">
        <v>350</v>
      </c>
      <c r="H1496" s="11">
        <v>0</v>
      </c>
      <c r="I1496" s="4"/>
      <c r="J1496" s="4"/>
      <c r="K1496" s="11">
        <v>0</v>
      </c>
      <c r="L1496" s="4"/>
      <c r="M1496" s="4"/>
      <c r="N1496" s="11">
        <v>350</v>
      </c>
      <c r="O1496" s="4" t="s">
        <v>56</v>
      </c>
      <c r="P1496" s="4" t="s">
        <v>57</v>
      </c>
      <c r="Q1496" s="11">
        <v>0</v>
      </c>
      <c r="R1496" s="4"/>
      <c r="S1496" s="12"/>
    </row>
    <row r="1497" spans="1:19" x14ac:dyDescent="0.25">
      <c r="A1497" s="9" t="s">
        <v>1117</v>
      </c>
      <c r="B1497" s="9" t="s">
        <v>291</v>
      </c>
      <c r="C1497" s="4">
        <v>201000598</v>
      </c>
      <c r="D1497" s="4" t="s">
        <v>1165</v>
      </c>
      <c r="E1497" s="4" t="str">
        <f>"011092010"</f>
        <v>011092010</v>
      </c>
      <c r="F1497" s="10">
        <v>40129</v>
      </c>
      <c r="G1497" s="11">
        <v>350</v>
      </c>
      <c r="H1497" s="11">
        <v>0</v>
      </c>
      <c r="I1497" s="4"/>
      <c r="J1497" s="4"/>
      <c r="K1497" s="11">
        <v>0</v>
      </c>
      <c r="L1497" s="4"/>
      <c r="M1497" s="4"/>
      <c r="N1497" s="11">
        <v>350</v>
      </c>
      <c r="O1497" s="4" t="s">
        <v>56</v>
      </c>
      <c r="P1497" s="4" t="s">
        <v>57</v>
      </c>
      <c r="Q1497" s="11">
        <v>0</v>
      </c>
      <c r="R1497" s="4"/>
      <c r="S1497" s="12"/>
    </row>
    <row r="1498" spans="1:19" x14ac:dyDescent="0.25">
      <c r="A1498" s="9" t="s">
        <v>1117</v>
      </c>
      <c r="B1498" s="9" t="s">
        <v>291</v>
      </c>
      <c r="C1498" s="4">
        <v>201000599</v>
      </c>
      <c r="D1498" s="4" t="s">
        <v>1215</v>
      </c>
      <c r="E1498" s="4" t="str">
        <f>"011112010"</f>
        <v>011112010</v>
      </c>
      <c r="F1498" s="10">
        <v>40129</v>
      </c>
      <c r="G1498" s="11">
        <v>350</v>
      </c>
      <c r="H1498" s="11">
        <v>0</v>
      </c>
      <c r="I1498" s="4"/>
      <c r="J1498" s="4"/>
      <c r="K1498" s="11">
        <v>0</v>
      </c>
      <c r="L1498" s="4"/>
      <c r="M1498" s="4"/>
      <c r="N1498" s="11">
        <v>350</v>
      </c>
      <c r="O1498" s="4" t="s">
        <v>56</v>
      </c>
      <c r="P1498" s="4" t="s">
        <v>57</v>
      </c>
      <c r="Q1498" s="11">
        <v>0</v>
      </c>
      <c r="R1498" s="4"/>
      <c r="S1498" s="12"/>
    </row>
    <row r="1499" spans="1:19" x14ac:dyDescent="0.25">
      <c r="A1499" s="9" t="s">
        <v>1117</v>
      </c>
      <c r="B1499" s="9" t="s">
        <v>291</v>
      </c>
      <c r="C1499" s="4">
        <v>201000603</v>
      </c>
      <c r="D1499" s="4" t="s">
        <v>1216</v>
      </c>
      <c r="E1499" s="4" t="str">
        <f>"011132010"</f>
        <v>011132010</v>
      </c>
      <c r="F1499" s="10">
        <v>40129</v>
      </c>
      <c r="G1499" s="11">
        <v>823.27</v>
      </c>
      <c r="H1499" s="11">
        <v>0</v>
      </c>
      <c r="I1499" s="4"/>
      <c r="J1499" s="4"/>
      <c r="K1499" s="11">
        <v>0</v>
      </c>
      <c r="L1499" s="4"/>
      <c r="M1499" s="4"/>
      <c r="N1499" s="11">
        <v>823.27</v>
      </c>
      <c r="O1499" s="4" t="s">
        <v>56</v>
      </c>
      <c r="P1499" s="4" t="s">
        <v>57</v>
      </c>
      <c r="Q1499" s="11">
        <v>0</v>
      </c>
      <c r="R1499" s="4"/>
      <c r="S1499" s="12"/>
    </row>
    <row r="1500" spans="1:19" x14ac:dyDescent="0.25">
      <c r="A1500" s="9" t="s">
        <v>1117</v>
      </c>
      <c r="B1500" s="9" t="s">
        <v>291</v>
      </c>
      <c r="C1500" s="4">
        <v>201000625</v>
      </c>
      <c r="D1500" s="4" t="s">
        <v>1217</v>
      </c>
      <c r="E1500" s="4" t="str">
        <f>"011892010"</f>
        <v>011892010</v>
      </c>
      <c r="F1500" s="10">
        <v>40134</v>
      </c>
      <c r="G1500" s="11">
        <v>366.13</v>
      </c>
      <c r="H1500" s="11">
        <v>0</v>
      </c>
      <c r="I1500" s="4"/>
      <c r="J1500" s="4"/>
      <c r="K1500" s="11">
        <v>0</v>
      </c>
      <c r="L1500" s="4"/>
      <c r="M1500" s="4"/>
      <c r="N1500" s="11">
        <v>366.13</v>
      </c>
      <c r="O1500" s="4" t="s">
        <v>56</v>
      </c>
      <c r="P1500" s="4" t="s">
        <v>57</v>
      </c>
      <c r="Q1500" s="11">
        <v>0</v>
      </c>
      <c r="R1500" s="4"/>
      <c r="S1500" s="12"/>
    </row>
    <row r="1501" spans="1:19" x14ac:dyDescent="0.25">
      <c r="A1501" s="9" t="s">
        <v>1117</v>
      </c>
      <c r="B1501" s="9" t="s">
        <v>291</v>
      </c>
      <c r="C1501" s="4">
        <v>201000627</v>
      </c>
      <c r="D1501" s="4" t="s">
        <v>1218</v>
      </c>
      <c r="E1501" s="4" t="str">
        <f>"011632010"</f>
        <v>011632010</v>
      </c>
      <c r="F1501" s="10">
        <v>40133</v>
      </c>
      <c r="G1501" s="11">
        <v>0</v>
      </c>
      <c r="H1501" s="11">
        <v>0</v>
      </c>
      <c r="I1501" s="4"/>
      <c r="J1501" s="4"/>
      <c r="K1501" s="11">
        <v>0</v>
      </c>
      <c r="L1501" s="4"/>
      <c r="M1501" s="4"/>
      <c r="N1501" s="11">
        <v>71</v>
      </c>
      <c r="O1501" s="4" t="s">
        <v>56</v>
      </c>
      <c r="P1501" s="4" t="s">
        <v>57</v>
      </c>
      <c r="Q1501" s="11">
        <v>0</v>
      </c>
      <c r="R1501" s="4"/>
      <c r="S1501" s="12"/>
    </row>
    <row r="1502" spans="1:19" x14ac:dyDescent="0.25">
      <c r="A1502" s="9" t="s">
        <v>1117</v>
      </c>
      <c r="B1502" s="9" t="s">
        <v>291</v>
      </c>
      <c r="C1502" s="4">
        <v>201000628</v>
      </c>
      <c r="D1502" s="4" t="s">
        <v>1219</v>
      </c>
      <c r="E1502" s="4" t="str">
        <f>"011752010"</f>
        <v>011752010</v>
      </c>
      <c r="F1502" s="10">
        <v>40133</v>
      </c>
      <c r="G1502" s="11">
        <v>350</v>
      </c>
      <c r="H1502" s="11">
        <v>0</v>
      </c>
      <c r="I1502" s="4"/>
      <c r="J1502" s="4"/>
      <c r="K1502" s="11">
        <v>0</v>
      </c>
      <c r="L1502" s="4"/>
      <c r="M1502" s="4"/>
      <c r="N1502" s="11">
        <v>350</v>
      </c>
      <c r="O1502" s="4" t="s">
        <v>56</v>
      </c>
      <c r="P1502" s="4" t="s">
        <v>57</v>
      </c>
      <c r="Q1502" s="11">
        <v>0</v>
      </c>
      <c r="R1502" s="4"/>
      <c r="S1502" s="12"/>
    </row>
    <row r="1503" spans="1:19" x14ac:dyDescent="0.25">
      <c r="A1503" s="9" t="s">
        <v>1117</v>
      </c>
      <c r="B1503" s="9" t="s">
        <v>291</v>
      </c>
      <c r="C1503" s="4">
        <v>201000631</v>
      </c>
      <c r="D1503" s="4" t="s">
        <v>1220</v>
      </c>
      <c r="E1503" s="4" t="str">
        <f>"011692010"</f>
        <v>011692010</v>
      </c>
      <c r="F1503" s="10">
        <v>40133</v>
      </c>
      <c r="G1503" s="11">
        <v>350</v>
      </c>
      <c r="H1503" s="11">
        <v>0</v>
      </c>
      <c r="I1503" s="4"/>
      <c r="J1503" s="4"/>
      <c r="K1503" s="11">
        <v>0</v>
      </c>
      <c r="L1503" s="4"/>
      <c r="M1503" s="4"/>
      <c r="N1503" s="11">
        <v>350</v>
      </c>
      <c r="O1503" s="4" t="s">
        <v>56</v>
      </c>
      <c r="P1503" s="4" t="s">
        <v>57</v>
      </c>
      <c r="Q1503" s="11">
        <v>0</v>
      </c>
      <c r="R1503" s="4"/>
      <c r="S1503" s="12"/>
    </row>
    <row r="1504" spans="1:19" x14ac:dyDescent="0.25">
      <c r="A1504" s="9" t="s">
        <v>1117</v>
      </c>
      <c r="B1504" s="9" t="s">
        <v>291</v>
      </c>
      <c r="C1504" s="4">
        <v>201000651</v>
      </c>
      <c r="D1504" s="4" t="s">
        <v>1221</v>
      </c>
      <c r="E1504" s="4" t="str">
        <f>"012192010"</f>
        <v>012192010</v>
      </c>
      <c r="F1504" s="10">
        <v>40134</v>
      </c>
      <c r="G1504" s="11">
        <v>350</v>
      </c>
      <c r="H1504" s="11">
        <v>0</v>
      </c>
      <c r="I1504" s="4"/>
      <c r="J1504" s="4"/>
      <c r="K1504" s="11">
        <v>0</v>
      </c>
      <c r="L1504" s="4"/>
      <c r="M1504" s="4"/>
      <c r="N1504" s="11">
        <v>350</v>
      </c>
      <c r="O1504" s="4" t="s">
        <v>56</v>
      </c>
      <c r="P1504" s="4" t="s">
        <v>57</v>
      </c>
      <c r="Q1504" s="11">
        <v>0</v>
      </c>
      <c r="R1504" s="4"/>
      <c r="S1504" s="12"/>
    </row>
    <row r="1505" spans="1:19" x14ac:dyDescent="0.25">
      <c r="A1505" s="9" t="s">
        <v>1117</v>
      </c>
      <c r="B1505" s="9" t="s">
        <v>291</v>
      </c>
      <c r="C1505" s="4">
        <v>201000662</v>
      </c>
      <c r="D1505" s="4" t="s">
        <v>1201</v>
      </c>
      <c r="E1505" s="4" t="str">
        <f>"014082010"</f>
        <v>014082010</v>
      </c>
      <c r="F1505" s="10">
        <v>40141</v>
      </c>
      <c r="G1505" s="11">
        <v>350</v>
      </c>
      <c r="H1505" s="11">
        <v>0</v>
      </c>
      <c r="I1505" s="4"/>
      <c r="J1505" s="4"/>
      <c r="K1505" s="11">
        <v>0</v>
      </c>
      <c r="L1505" s="4"/>
      <c r="M1505" s="4"/>
      <c r="N1505" s="11">
        <v>350</v>
      </c>
      <c r="O1505" s="4" t="s">
        <v>56</v>
      </c>
      <c r="P1505" s="4" t="s">
        <v>57</v>
      </c>
      <c r="Q1505" s="11">
        <v>0</v>
      </c>
      <c r="R1505" s="4"/>
      <c r="S1505" s="12"/>
    </row>
    <row r="1506" spans="1:19" x14ac:dyDescent="0.25">
      <c r="A1506" s="9" t="s">
        <v>1117</v>
      </c>
      <c r="B1506" s="9" t="s">
        <v>291</v>
      </c>
      <c r="C1506" s="4">
        <v>201000671</v>
      </c>
      <c r="D1506" s="4" t="s">
        <v>1222</v>
      </c>
      <c r="E1506" s="4" t="str">
        <f>"012712010"</f>
        <v>012712010</v>
      </c>
      <c r="F1506" s="10">
        <v>40134</v>
      </c>
      <c r="G1506" s="11">
        <v>350</v>
      </c>
      <c r="H1506" s="11">
        <v>0</v>
      </c>
      <c r="I1506" s="4"/>
      <c r="J1506" s="4"/>
      <c r="K1506" s="11">
        <v>0</v>
      </c>
      <c r="L1506" s="4"/>
      <c r="M1506" s="4"/>
      <c r="N1506" s="11">
        <v>350</v>
      </c>
      <c r="O1506" s="4" t="s">
        <v>56</v>
      </c>
      <c r="P1506" s="4" t="s">
        <v>57</v>
      </c>
      <c r="Q1506" s="11">
        <v>0</v>
      </c>
      <c r="R1506" s="4"/>
      <c r="S1506" s="12"/>
    </row>
    <row r="1507" spans="1:19" x14ac:dyDescent="0.25">
      <c r="A1507" s="9" t="s">
        <v>1117</v>
      </c>
      <c r="B1507" s="9" t="s">
        <v>291</v>
      </c>
      <c r="C1507" s="4">
        <v>201000675</v>
      </c>
      <c r="D1507" s="4"/>
      <c r="E1507" s="4" t="str">
        <f>"015302010"</f>
        <v>015302010</v>
      </c>
      <c r="F1507" s="10">
        <v>40142</v>
      </c>
      <c r="G1507" s="11">
        <v>387.8</v>
      </c>
      <c r="H1507" s="11">
        <v>0</v>
      </c>
      <c r="I1507" s="4"/>
      <c r="J1507" s="4"/>
      <c r="K1507" s="11">
        <v>0</v>
      </c>
      <c r="L1507" s="4"/>
      <c r="M1507" s="4"/>
      <c r="N1507" s="11">
        <v>387.8</v>
      </c>
      <c r="O1507" s="4" t="s">
        <v>56</v>
      </c>
      <c r="P1507" s="4" t="s">
        <v>57</v>
      </c>
      <c r="Q1507" s="11">
        <v>0</v>
      </c>
      <c r="R1507" s="4"/>
      <c r="S1507" s="12"/>
    </row>
    <row r="1508" spans="1:19" x14ac:dyDescent="0.25">
      <c r="A1508" s="9" t="s">
        <v>1117</v>
      </c>
      <c r="B1508" s="9" t="s">
        <v>291</v>
      </c>
      <c r="C1508" s="4">
        <v>201000678</v>
      </c>
      <c r="D1508" s="4" t="s">
        <v>1133</v>
      </c>
      <c r="E1508" s="4" t="str">
        <f>"012732010"</f>
        <v>012732010</v>
      </c>
      <c r="F1508" s="10">
        <v>40135</v>
      </c>
      <c r="G1508" s="11">
        <v>366.97</v>
      </c>
      <c r="H1508" s="11">
        <v>0</v>
      </c>
      <c r="I1508" s="4"/>
      <c r="J1508" s="4"/>
      <c r="K1508" s="11">
        <v>0</v>
      </c>
      <c r="L1508" s="4"/>
      <c r="M1508" s="4"/>
      <c r="N1508" s="11">
        <v>366.97</v>
      </c>
      <c r="O1508" s="4" t="s">
        <v>56</v>
      </c>
      <c r="P1508" s="4" t="s">
        <v>57</v>
      </c>
      <c r="Q1508" s="11">
        <v>0</v>
      </c>
      <c r="R1508" s="4"/>
      <c r="S1508" s="12"/>
    </row>
    <row r="1509" spans="1:19" x14ac:dyDescent="0.25">
      <c r="A1509" s="9" t="s">
        <v>1117</v>
      </c>
      <c r="B1509" s="9" t="s">
        <v>291</v>
      </c>
      <c r="C1509" s="4">
        <v>201000690</v>
      </c>
      <c r="D1509" s="4" t="s">
        <v>1223</v>
      </c>
      <c r="E1509" s="4" t="str">
        <f>"012812010"</f>
        <v>012812010</v>
      </c>
      <c r="F1509" s="10">
        <v>40136</v>
      </c>
      <c r="G1509" s="11">
        <v>350</v>
      </c>
      <c r="H1509" s="11">
        <v>0</v>
      </c>
      <c r="I1509" s="4"/>
      <c r="J1509" s="4"/>
      <c r="K1509" s="11">
        <v>0</v>
      </c>
      <c r="L1509" s="4"/>
      <c r="M1509" s="4"/>
      <c r="N1509" s="11">
        <v>350</v>
      </c>
      <c r="O1509" s="4" t="s">
        <v>56</v>
      </c>
      <c r="P1509" s="4" t="s">
        <v>57</v>
      </c>
      <c r="Q1509" s="11">
        <v>0</v>
      </c>
      <c r="R1509" s="4"/>
      <c r="S1509" s="12"/>
    </row>
    <row r="1510" spans="1:19" x14ac:dyDescent="0.25">
      <c r="A1510" s="9" t="s">
        <v>1117</v>
      </c>
      <c r="B1510" s="9" t="s">
        <v>291</v>
      </c>
      <c r="C1510" s="4">
        <v>201000694</v>
      </c>
      <c r="D1510" s="4" t="s">
        <v>1224</v>
      </c>
      <c r="E1510" s="4" t="str">
        <f>"012832010"</f>
        <v>012832010</v>
      </c>
      <c r="F1510" s="10">
        <v>40136</v>
      </c>
      <c r="G1510" s="11">
        <v>350</v>
      </c>
      <c r="H1510" s="11">
        <v>0</v>
      </c>
      <c r="I1510" s="4"/>
      <c r="J1510" s="4"/>
      <c r="K1510" s="11">
        <v>0</v>
      </c>
      <c r="L1510" s="4"/>
      <c r="M1510" s="4"/>
      <c r="N1510" s="11">
        <v>350</v>
      </c>
      <c r="O1510" s="4" t="s">
        <v>56</v>
      </c>
      <c r="P1510" s="4" t="s">
        <v>57</v>
      </c>
      <c r="Q1510" s="11">
        <v>0</v>
      </c>
      <c r="R1510" s="4"/>
      <c r="S1510" s="12"/>
    </row>
    <row r="1511" spans="1:19" x14ac:dyDescent="0.25">
      <c r="A1511" s="9" t="s">
        <v>1117</v>
      </c>
      <c r="B1511" s="9" t="s">
        <v>291</v>
      </c>
      <c r="C1511" s="4">
        <v>201000697</v>
      </c>
      <c r="D1511" s="4" t="s">
        <v>1225</v>
      </c>
      <c r="E1511" s="4" t="str">
        <f>"012932010"</f>
        <v>012932010</v>
      </c>
      <c r="F1511" s="10">
        <v>40136</v>
      </c>
      <c r="G1511" s="11">
        <v>350</v>
      </c>
      <c r="H1511" s="11">
        <v>0</v>
      </c>
      <c r="I1511" s="4"/>
      <c r="J1511" s="4"/>
      <c r="K1511" s="11">
        <v>0</v>
      </c>
      <c r="L1511" s="4"/>
      <c r="M1511" s="4"/>
      <c r="N1511" s="11">
        <v>350</v>
      </c>
      <c r="O1511" s="4" t="s">
        <v>56</v>
      </c>
      <c r="P1511" s="4" t="s">
        <v>57</v>
      </c>
      <c r="Q1511" s="11">
        <v>0</v>
      </c>
      <c r="R1511" s="4"/>
      <c r="S1511" s="12"/>
    </row>
    <row r="1512" spans="1:19" x14ac:dyDescent="0.25">
      <c r="A1512" s="9" t="s">
        <v>1117</v>
      </c>
      <c r="B1512" s="9" t="s">
        <v>291</v>
      </c>
      <c r="C1512" s="4">
        <v>201000700</v>
      </c>
      <c r="D1512" s="4" t="s">
        <v>1223</v>
      </c>
      <c r="E1512" s="4" t="str">
        <f>"013032010"</f>
        <v>013032010</v>
      </c>
      <c r="F1512" s="10">
        <v>40137</v>
      </c>
      <c r="G1512" s="11">
        <v>350</v>
      </c>
      <c r="H1512" s="11">
        <v>0</v>
      </c>
      <c r="I1512" s="4"/>
      <c r="J1512" s="4"/>
      <c r="K1512" s="11">
        <v>0</v>
      </c>
      <c r="L1512" s="4"/>
      <c r="M1512" s="4"/>
      <c r="N1512" s="11">
        <v>350</v>
      </c>
      <c r="O1512" s="4" t="s">
        <v>56</v>
      </c>
      <c r="P1512" s="4" t="s">
        <v>57</v>
      </c>
      <c r="Q1512" s="11">
        <v>0</v>
      </c>
      <c r="R1512" s="4"/>
      <c r="S1512" s="12"/>
    </row>
    <row r="1513" spans="1:19" x14ac:dyDescent="0.25">
      <c r="A1513" s="9" t="s">
        <v>1117</v>
      </c>
      <c r="B1513" s="9" t="s">
        <v>291</v>
      </c>
      <c r="C1513" s="4">
        <v>201000702</v>
      </c>
      <c r="D1513" s="4" t="s">
        <v>1223</v>
      </c>
      <c r="E1513" s="4" t="str">
        <f>"012912010"</f>
        <v>012912010</v>
      </c>
      <c r="F1513" s="10">
        <v>40136</v>
      </c>
      <c r="G1513" s="11">
        <v>350</v>
      </c>
      <c r="H1513" s="11">
        <v>0</v>
      </c>
      <c r="I1513" s="4"/>
      <c r="J1513" s="4"/>
      <c r="K1513" s="11">
        <v>0</v>
      </c>
      <c r="L1513" s="4"/>
      <c r="M1513" s="4"/>
      <c r="N1513" s="11">
        <v>350</v>
      </c>
      <c r="O1513" s="4" t="s">
        <v>56</v>
      </c>
      <c r="P1513" s="4" t="s">
        <v>57</v>
      </c>
      <c r="Q1513" s="11">
        <v>0</v>
      </c>
      <c r="R1513" s="4"/>
      <c r="S1513" s="12"/>
    </row>
    <row r="1514" spans="1:19" x14ac:dyDescent="0.25">
      <c r="A1514" s="9" t="s">
        <v>1117</v>
      </c>
      <c r="B1514" s="9" t="s">
        <v>291</v>
      </c>
      <c r="C1514" s="4">
        <v>201000707</v>
      </c>
      <c r="D1514" s="4" t="s">
        <v>1226</v>
      </c>
      <c r="E1514" s="4" t="str">
        <f>"013132010"</f>
        <v>013132010</v>
      </c>
      <c r="F1514" s="10">
        <v>40137</v>
      </c>
      <c r="G1514" s="11">
        <v>350</v>
      </c>
      <c r="H1514" s="11">
        <v>0</v>
      </c>
      <c r="I1514" s="4"/>
      <c r="J1514" s="4"/>
      <c r="K1514" s="11">
        <v>0</v>
      </c>
      <c r="L1514" s="4"/>
      <c r="M1514" s="4"/>
      <c r="N1514" s="11">
        <v>350</v>
      </c>
      <c r="O1514" s="4" t="s">
        <v>56</v>
      </c>
      <c r="P1514" s="4" t="s">
        <v>57</v>
      </c>
      <c r="Q1514" s="11">
        <v>0</v>
      </c>
      <c r="R1514" s="4"/>
      <c r="S1514" s="12"/>
    </row>
    <row r="1515" spans="1:19" x14ac:dyDescent="0.25">
      <c r="A1515" s="9" t="s">
        <v>1117</v>
      </c>
      <c r="B1515" s="9" t="s">
        <v>291</v>
      </c>
      <c r="C1515" s="4">
        <v>201000708</v>
      </c>
      <c r="D1515" s="4" t="s">
        <v>1227</v>
      </c>
      <c r="E1515" s="4" t="str">
        <f>"013472010"</f>
        <v>013472010</v>
      </c>
      <c r="F1515" s="10">
        <v>40137</v>
      </c>
      <c r="G1515" s="11">
        <v>350</v>
      </c>
      <c r="H1515" s="11">
        <v>0</v>
      </c>
      <c r="I1515" s="4"/>
      <c r="J1515" s="4"/>
      <c r="K1515" s="11">
        <v>0</v>
      </c>
      <c r="L1515" s="4"/>
      <c r="M1515" s="4"/>
      <c r="N1515" s="11">
        <v>350</v>
      </c>
      <c r="O1515" s="4" t="s">
        <v>56</v>
      </c>
      <c r="P1515" s="4" t="s">
        <v>57</v>
      </c>
      <c r="Q1515" s="11">
        <v>0</v>
      </c>
      <c r="R1515" s="4"/>
      <c r="S1515" s="12"/>
    </row>
    <row r="1516" spans="1:19" x14ac:dyDescent="0.25">
      <c r="A1516" s="9" t="s">
        <v>1117</v>
      </c>
      <c r="B1516" s="9" t="s">
        <v>291</v>
      </c>
      <c r="C1516" s="4">
        <v>201000710</v>
      </c>
      <c r="D1516" s="4" t="s">
        <v>1228</v>
      </c>
      <c r="E1516" s="4" t="str">
        <f>"014022010"</f>
        <v>014022010</v>
      </c>
      <c r="F1516" s="10">
        <v>40141</v>
      </c>
      <c r="G1516" s="11">
        <v>350</v>
      </c>
      <c r="H1516" s="11">
        <v>0</v>
      </c>
      <c r="I1516" s="4"/>
      <c r="J1516" s="4"/>
      <c r="K1516" s="11">
        <v>0</v>
      </c>
      <c r="L1516" s="4"/>
      <c r="M1516" s="4"/>
      <c r="N1516" s="11">
        <v>350</v>
      </c>
      <c r="O1516" s="4" t="s">
        <v>56</v>
      </c>
      <c r="P1516" s="4" t="s">
        <v>57</v>
      </c>
      <c r="Q1516" s="11">
        <v>0</v>
      </c>
      <c r="R1516" s="4"/>
      <c r="S1516" s="12"/>
    </row>
    <row r="1517" spans="1:19" x14ac:dyDescent="0.25">
      <c r="A1517" s="9" t="s">
        <v>1117</v>
      </c>
      <c r="B1517" s="9" t="s">
        <v>291</v>
      </c>
      <c r="C1517" s="4">
        <v>201000716</v>
      </c>
      <c r="D1517" s="4" t="s">
        <v>1229</v>
      </c>
      <c r="E1517" s="4" t="str">
        <f>"013192010"</f>
        <v>013192010</v>
      </c>
      <c r="F1517" s="10">
        <v>40137</v>
      </c>
      <c r="G1517" s="11">
        <v>350</v>
      </c>
      <c r="H1517" s="11">
        <v>0</v>
      </c>
      <c r="I1517" s="4"/>
      <c r="J1517" s="4"/>
      <c r="K1517" s="11">
        <v>0</v>
      </c>
      <c r="L1517" s="4"/>
      <c r="M1517" s="4"/>
      <c r="N1517" s="11">
        <v>350</v>
      </c>
      <c r="O1517" s="4" t="s">
        <v>56</v>
      </c>
      <c r="P1517" s="4" t="s">
        <v>57</v>
      </c>
      <c r="Q1517" s="11">
        <v>0</v>
      </c>
      <c r="R1517" s="4"/>
      <c r="S1517" s="12"/>
    </row>
    <row r="1518" spans="1:19" x14ac:dyDescent="0.25">
      <c r="A1518" s="9" t="s">
        <v>1117</v>
      </c>
      <c r="B1518" s="9" t="s">
        <v>291</v>
      </c>
      <c r="C1518" s="4">
        <v>201000719</v>
      </c>
      <c r="D1518" s="4" t="s">
        <v>1230</v>
      </c>
      <c r="E1518" s="4" t="str">
        <f>"013352010"</f>
        <v>013352010</v>
      </c>
      <c r="F1518" s="10">
        <v>40137</v>
      </c>
      <c r="G1518" s="11">
        <v>350</v>
      </c>
      <c r="H1518" s="11">
        <v>0</v>
      </c>
      <c r="I1518" s="4"/>
      <c r="J1518" s="4"/>
      <c r="K1518" s="11">
        <v>0</v>
      </c>
      <c r="L1518" s="4"/>
      <c r="M1518" s="4"/>
      <c r="N1518" s="11">
        <v>350</v>
      </c>
      <c r="O1518" s="4" t="s">
        <v>56</v>
      </c>
      <c r="P1518" s="4" t="s">
        <v>57</v>
      </c>
      <c r="Q1518" s="11">
        <v>0</v>
      </c>
      <c r="R1518" s="4"/>
      <c r="S1518" s="12"/>
    </row>
    <row r="1519" spans="1:19" x14ac:dyDescent="0.25">
      <c r="A1519" s="9" t="s">
        <v>1117</v>
      </c>
      <c r="B1519" s="9" t="s">
        <v>291</v>
      </c>
      <c r="C1519" s="4">
        <v>201000724</v>
      </c>
      <c r="D1519" s="4" t="s">
        <v>1231</v>
      </c>
      <c r="E1519" s="4" t="str">
        <f>"013252010"</f>
        <v>013252010</v>
      </c>
      <c r="F1519" s="10">
        <v>40137</v>
      </c>
      <c r="G1519" s="11">
        <v>4</v>
      </c>
      <c r="H1519" s="11">
        <v>0</v>
      </c>
      <c r="I1519" s="4"/>
      <c r="J1519" s="4"/>
      <c r="K1519" s="11">
        <v>0</v>
      </c>
      <c r="L1519" s="4"/>
      <c r="M1519" s="4"/>
      <c r="N1519" s="11">
        <v>4</v>
      </c>
      <c r="O1519" s="4" t="s">
        <v>56</v>
      </c>
      <c r="P1519" s="4" t="s">
        <v>57</v>
      </c>
      <c r="Q1519" s="11">
        <v>0</v>
      </c>
      <c r="R1519" s="4"/>
      <c r="S1519" s="12"/>
    </row>
    <row r="1520" spans="1:19" x14ac:dyDescent="0.25">
      <c r="A1520" s="9" t="s">
        <v>1117</v>
      </c>
      <c r="B1520" s="9" t="s">
        <v>291</v>
      </c>
      <c r="C1520" s="4">
        <v>201000728</v>
      </c>
      <c r="D1520" s="4" t="s">
        <v>1232</v>
      </c>
      <c r="E1520" s="4" t="str">
        <f>"013372010"</f>
        <v>013372010</v>
      </c>
      <c r="F1520" s="10">
        <v>40137</v>
      </c>
      <c r="G1520" s="11">
        <v>263.95</v>
      </c>
      <c r="H1520" s="11">
        <v>0</v>
      </c>
      <c r="I1520" s="4"/>
      <c r="J1520" s="4"/>
      <c r="K1520" s="11">
        <v>0</v>
      </c>
      <c r="L1520" s="4"/>
      <c r="M1520" s="4"/>
      <c r="N1520" s="11">
        <v>263.95</v>
      </c>
      <c r="O1520" s="4" t="s">
        <v>56</v>
      </c>
      <c r="P1520" s="4" t="s">
        <v>57</v>
      </c>
      <c r="Q1520" s="11">
        <v>0</v>
      </c>
      <c r="R1520" s="4"/>
      <c r="S1520" s="12"/>
    </row>
    <row r="1521" spans="1:19" x14ac:dyDescent="0.25">
      <c r="A1521" s="9" t="s">
        <v>1117</v>
      </c>
      <c r="B1521" s="9" t="s">
        <v>291</v>
      </c>
      <c r="C1521" s="4">
        <v>201000741</v>
      </c>
      <c r="D1521" s="4" t="s">
        <v>1233</v>
      </c>
      <c r="E1521" s="4" t="str">
        <f>"013562010"</f>
        <v>013562010</v>
      </c>
      <c r="F1521" s="10">
        <v>40137</v>
      </c>
      <c r="G1521" s="11">
        <v>350</v>
      </c>
      <c r="H1521" s="11">
        <v>0</v>
      </c>
      <c r="I1521" s="4"/>
      <c r="J1521" s="4"/>
      <c r="K1521" s="11">
        <v>0</v>
      </c>
      <c r="L1521" s="4"/>
      <c r="M1521" s="4"/>
      <c r="N1521" s="11">
        <v>350</v>
      </c>
      <c r="O1521" s="4" t="s">
        <v>56</v>
      </c>
      <c r="P1521" s="4" t="s">
        <v>57</v>
      </c>
      <c r="Q1521" s="11">
        <v>0</v>
      </c>
      <c r="R1521" s="4"/>
      <c r="S1521" s="12"/>
    </row>
    <row r="1522" spans="1:19" x14ac:dyDescent="0.25">
      <c r="A1522" s="9" t="s">
        <v>1117</v>
      </c>
      <c r="B1522" s="9" t="s">
        <v>291</v>
      </c>
      <c r="C1522" s="4">
        <v>201000742</v>
      </c>
      <c r="D1522" s="4" t="s">
        <v>1234</v>
      </c>
      <c r="E1522" s="4" t="str">
        <f>"013582010"</f>
        <v>013582010</v>
      </c>
      <c r="F1522" s="10">
        <v>40137</v>
      </c>
      <c r="G1522" s="11">
        <v>350</v>
      </c>
      <c r="H1522" s="11">
        <v>0</v>
      </c>
      <c r="I1522" s="4"/>
      <c r="J1522" s="4"/>
      <c r="K1522" s="11">
        <v>0</v>
      </c>
      <c r="L1522" s="4"/>
      <c r="M1522" s="4"/>
      <c r="N1522" s="11">
        <v>350</v>
      </c>
      <c r="O1522" s="4" t="s">
        <v>56</v>
      </c>
      <c r="P1522" s="4" t="s">
        <v>57</v>
      </c>
      <c r="Q1522" s="11">
        <v>0</v>
      </c>
      <c r="R1522" s="4"/>
      <c r="S1522" s="12"/>
    </row>
    <row r="1523" spans="1:19" x14ac:dyDescent="0.25">
      <c r="A1523" s="9" t="s">
        <v>1117</v>
      </c>
      <c r="B1523" s="9" t="s">
        <v>291</v>
      </c>
      <c r="C1523" s="4">
        <v>201000743</v>
      </c>
      <c r="D1523" s="4" t="s">
        <v>1235</v>
      </c>
      <c r="E1523" s="4" t="str">
        <f>"013602010"</f>
        <v>013602010</v>
      </c>
      <c r="F1523" s="10">
        <v>40137</v>
      </c>
      <c r="G1523" s="11">
        <v>350</v>
      </c>
      <c r="H1523" s="11">
        <v>0</v>
      </c>
      <c r="I1523" s="4"/>
      <c r="J1523" s="4"/>
      <c r="K1523" s="11">
        <v>0</v>
      </c>
      <c r="L1523" s="4"/>
      <c r="M1523" s="4"/>
      <c r="N1523" s="11">
        <v>350</v>
      </c>
      <c r="O1523" s="4" t="s">
        <v>56</v>
      </c>
      <c r="P1523" s="4" t="s">
        <v>57</v>
      </c>
      <c r="Q1523" s="11">
        <v>0</v>
      </c>
      <c r="R1523" s="4"/>
      <c r="S1523" s="12"/>
    </row>
    <row r="1524" spans="1:19" x14ac:dyDescent="0.25">
      <c r="A1524" s="9" t="s">
        <v>1117</v>
      </c>
      <c r="B1524" s="9" t="s">
        <v>291</v>
      </c>
      <c r="C1524" s="4">
        <v>201000745</v>
      </c>
      <c r="D1524" s="4" t="s">
        <v>1236</v>
      </c>
      <c r="E1524" s="4" t="str">
        <f>"015422010"</f>
        <v>015422010</v>
      </c>
      <c r="F1524" s="10">
        <v>40142</v>
      </c>
      <c r="G1524" s="11">
        <v>350</v>
      </c>
      <c r="H1524" s="11">
        <v>0</v>
      </c>
      <c r="I1524" s="4"/>
      <c r="J1524" s="4"/>
      <c r="K1524" s="11">
        <v>0</v>
      </c>
      <c r="L1524" s="4"/>
      <c r="M1524" s="4"/>
      <c r="N1524" s="11">
        <v>350</v>
      </c>
      <c r="O1524" s="4" t="s">
        <v>56</v>
      </c>
      <c r="P1524" s="4" t="s">
        <v>57</v>
      </c>
      <c r="Q1524" s="11">
        <v>0</v>
      </c>
      <c r="R1524" s="4"/>
      <c r="S1524" s="12"/>
    </row>
    <row r="1525" spans="1:19" x14ac:dyDescent="0.25">
      <c r="A1525" s="9" t="s">
        <v>1117</v>
      </c>
      <c r="B1525" s="9" t="s">
        <v>291</v>
      </c>
      <c r="C1525" s="4">
        <v>201000751</v>
      </c>
      <c r="D1525" s="4" t="s">
        <v>1218</v>
      </c>
      <c r="E1525" s="4" t="str">
        <f>"014062010"</f>
        <v>014062010</v>
      </c>
      <c r="F1525" s="10">
        <v>40141</v>
      </c>
      <c r="G1525" s="11">
        <v>350</v>
      </c>
      <c r="H1525" s="11">
        <v>0</v>
      </c>
      <c r="I1525" s="4"/>
      <c r="J1525" s="4"/>
      <c r="K1525" s="11">
        <v>0</v>
      </c>
      <c r="L1525" s="4"/>
      <c r="M1525" s="4"/>
      <c r="N1525" s="11">
        <v>350</v>
      </c>
      <c r="O1525" s="4" t="s">
        <v>56</v>
      </c>
      <c r="P1525" s="4" t="s">
        <v>57</v>
      </c>
      <c r="Q1525" s="11">
        <v>0</v>
      </c>
      <c r="R1525" s="4"/>
      <c r="S1525" s="12"/>
    </row>
    <row r="1526" spans="1:19" x14ac:dyDescent="0.25">
      <c r="A1526" s="9" t="s">
        <v>1117</v>
      </c>
      <c r="B1526" s="9" t="s">
        <v>291</v>
      </c>
      <c r="C1526" s="4">
        <v>201000763</v>
      </c>
      <c r="D1526" s="4"/>
      <c r="E1526" s="4" t="str">
        <f>"014382010"</f>
        <v>014382010</v>
      </c>
      <c r="F1526" s="10">
        <v>40141</v>
      </c>
      <c r="G1526" s="11">
        <v>350</v>
      </c>
      <c r="H1526" s="11">
        <v>0</v>
      </c>
      <c r="I1526" s="4"/>
      <c r="J1526" s="4"/>
      <c r="K1526" s="11">
        <v>0</v>
      </c>
      <c r="L1526" s="4"/>
      <c r="M1526" s="4"/>
      <c r="N1526" s="11">
        <v>350</v>
      </c>
      <c r="O1526" s="4" t="s">
        <v>56</v>
      </c>
      <c r="P1526" s="4" t="s">
        <v>57</v>
      </c>
      <c r="Q1526" s="11">
        <v>0</v>
      </c>
      <c r="R1526" s="4"/>
      <c r="S1526" s="12"/>
    </row>
    <row r="1527" spans="1:19" x14ac:dyDescent="0.25">
      <c r="A1527" s="9" t="s">
        <v>1117</v>
      </c>
      <c r="B1527" s="9" t="s">
        <v>291</v>
      </c>
      <c r="C1527" s="4">
        <v>201000767</v>
      </c>
      <c r="D1527" s="4" t="s">
        <v>1237</v>
      </c>
      <c r="E1527" s="4" t="str">
        <f>"014362010"</f>
        <v>014362010</v>
      </c>
      <c r="F1527" s="10">
        <v>40141</v>
      </c>
      <c r="G1527" s="11">
        <v>366</v>
      </c>
      <c r="H1527" s="11">
        <v>0</v>
      </c>
      <c r="I1527" s="4"/>
      <c r="J1527" s="4"/>
      <c r="K1527" s="11">
        <v>0</v>
      </c>
      <c r="L1527" s="4"/>
      <c r="M1527" s="4"/>
      <c r="N1527" s="11">
        <v>366</v>
      </c>
      <c r="O1527" s="4" t="s">
        <v>56</v>
      </c>
      <c r="P1527" s="4" t="s">
        <v>57</v>
      </c>
      <c r="Q1527" s="11">
        <v>0</v>
      </c>
      <c r="R1527" s="4"/>
      <c r="S1527" s="12"/>
    </row>
    <row r="1528" spans="1:19" x14ac:dyDescent="0.25">
      <c r="A1528" s="9" t="s">
        <v>1117</v>
      </c>
      <c r="B1528" s="9" t="s">
        <v>291</v>
      </c>
      <c r="C1528" s="4">
        <v>201000769</v>
      </c>
      <c r="D1528" s="4" t="s">
        <v>1238</v>
      </c>
      <c r="E1528" s="4" t="str">
        <f>"014202010"</f>
        <v>014202010</v>
      </c>
      <c r="F1528" s="10">
        <v>40141</v>
      </c>
      <c r="G1528" s="11">
        <v>366.3</v>
      </c>
      <c r="H1528" s="11">
        <v>0</v>
      </c>
      <c r="I1528" s="4"/>
      <c r="J1528" s="4"/>
      <c r="K1528" s="11">
        <v>0</v>
      </c>
      <c r="L1528" s="4"/>
      <c r="M1528" s="4"/>
      <c r="N1528" s="11">
        <v>366.3</v>
      </c>
      <c r="O1528" s="4" t="s">
        <v>56</v>
      </c>
      <c r="P1528" s="4" t="s">
        <v>57</v>
      </c>
      <c r="Q1528" s="11">
        <v>0</v>
      </c>
      <c r="R1528" s="4"/>
      <c r="S1528" s="12"/>
    </row>
    <row r="1529" spans="1:19" x14ac:dyDescent="0.25">
      <c r="A1529" s="9" t="s">
        <v>1117</v>
      </c>
      <c r="B1529" s="9" t="s">
        <v>291</v>
      </c>
      <c r="C1529" s="4">
        <v>201000770</v>
      </c>
      <c r="D1529" s="4" t="s">
        <v>1239</v>
      </c>
      <c r="E1529" s="4" t="str">
        <f>"014462010"</f>
        <v>014462010</v>
      </c>
      <c r="F1529" s="10">
        <v>40141</v>
      </c>
      <c r="G1529" s="11">
        <v>350</v>
      </c>
      <c r="H1529" s="11">
        <v>0</v>
      </c>
      <c r="I1529" s="4"/>
      <c r="J1529" s="4"/>
      <c r="K1529" s="11">
        <v>0</v>
      </c>
      <c r="L1529" s="4"/>
      <c r="M1529" s="4"/>
      <c r="N1529" s="11">
        <v>350</v>
      </c>
      <c r="O1529" s="4" t="s">
        <v>56</v>
      </c>
      <c r="P1529" s="4" t="s">
        <v>57</v>
      </c>
      <c r="Q1529" s="11">
        <v>0</v>
      </c>
      <c r="R1529" s="4"/>
      <c r="S1529" s="12"/>
    </row>
    <row r="1530" spans="1:19" x14ac:dyDescent="0.25">
      <c r="A1530" s="9" t="s">
        <v>1117</v>
      </c>
      <c r="B1530" s="9" t="s">
        <v>291</v>
      </c>
      <c r="C1530" s="4">
        <v>201000773</v>
      </c>
      <c r="D1530" s="4" t="s">
        <v>1240</v>
      </c>
      <c r="E1530" s="4" t="str">
        <f>"014682010"</f>
        <v>014682010</v>
      </c>
      <c r="F1530" s="10">
        <v>40142</v>
      </c>
      <c r="G1530" s="11">
        <v>350</v>
      </c>
      <c r="H1530" s="11">
        <v>0</v>
      </c>
      <c r="I1530" s="4"/>
      <c r="J1530" s="4"/>
      <c r="K1530" s="11">
        <v>0</v>
      </c>
      <c r="L1530" s="4"/>
      <c r="M1530" s="4"/>
      <c r="N1530" s="11">
        <v>350</v>
      </c>
      <c r="O1530" s="4" t="s">
        <v>56</v>
      </c>
      <c r="P1530" s="4" t="s">
        <v>57</v>
      </c>
      <c r="Q1530" s="11">
        <v>0</v>
      </c>
      <c r="R1530" s="4"/>
      <c r="S1530" s="12"/>
    </row>
    <row r="1531" spans="1:19" x14ac:dyDescent="0.25">
      <c r="A1531" s="9" t="s">
        <v>1117</v>
      </c>
      <c r="B1531" s="9" t="s">
        <v>291</v>
      </c>
      <c r="C1531" s="4">
        <v>201000777</v>
      </c>
      <c r="D1531" s="4" t="s">
        <v>1241</v>
      </c>
      <c r="E1531" s="4" t="str">
        <f>"014702010"</f>
        <v>014702010</v>
      </c>
      <c r="F1531" s="10">
        <v>40142</v>
      </c>
      <c r="G1531" s="11">
        <v>150</v>
      </c>
      <c r="H1531" s="11">
        <v>0</v>
      </c>
      <c r="I1531" s="4"/>
      <c r="J1531" s="4"/>
      <c r="K1531" s="11">
        <v>0</v>
      </c>
      <c r="L1531" s="4"/>
      <c r="M1531" s="4"/>
      <c r="N1531" s="11">
        <v>150</v>
      </c>
      <c r="O1531" s="4" t="s">
        <v>56</v>
      </c>
      <c r="P1531" s="4" t="s">
        <v>57</v>
      </c>
      <c r="Q1531" s="11">
        <v>0</v>
      </c>
      <c r="R1531" s="4"/>
      <c r="S1531" s="12"/>
    </row>
    <row r="1532" spans="1:19" x14ac:dyDescent="0.25">
      <c r="A1532" s="9" t="s">
        <v>1117</v>
      </c>
      <c r="B1532" s="9" t="s">
        <v>291</v>
      </c>
      <c r="C1532" s="4">
        <v>201000778</v>
      </c>
      <c r="D1532" s="4" t="s">
        <v>1242</v>
      </c>
      <c r="E1532" s="4" t="str">
        <f>"014402010"</f>
        <v>014402010</v>
      </c>
      <c r="F1532" s="10">
        <v>40141</v>
      </c>
      <c r="G1532" s="11">
        <v>350</v>
      </c>
      <c r="H1532" s="11">
        <v>0</v>
      </c>
      <c r="I1532" s="4"/>
      <c r="J1532" s="4"/>
      <c r="K1532" s="11">
        <v>0</v>
      </c>
      <c r="L1532" s="4"/>
      <c r="M1532" s="4"/>
      <c r="N1532" s="11">
        <v>350</v>
      </c>
      <c r="O1532" s="4" t="s">
        <v>308</v>
      </c>
      <c r="P1532" s="4" t="s">
        <v>309</v>
      </c>
      <c r="Q1532" s="11">
        <v>0</v>
      </c>
      <c r="R1532" s="4"/>
      <c r="S1532" s="12"/>
    </row>
    <row r="1533" spans="1:19" x14ac:dyDescent="0.25">
      <c r="A1533" s="9" t="s">
        <v>1117</v>
      </c>
      <c r="B1533" s="9" t="s">
        <v>291</v>
      </c>
      <c r="C1533" s="4">
        <v>201000856</v>
      </c>
      <c r="D1533" s="4" t="s">
        <v>1160</v>
      </c>
      <c r="E1533" s="4" t="str">
        <f>"016552010"</f>
        <v>016552010</v>
      </c>
      <c r="F1533" s="10">
        <v>40150</v>
      </c>
      <c r="G1533" s="11">
        <v>350</v>
      </c>
      <c r="H1533" s="11">
        <v>0</v>
      </c>
      <c r="I1533" s="4"/>
      <c r="J1533" s="4"/>
      <c r="K1533" s="11">
        <v>0</v>
      </c>
      <c r="L1533" s="4"/>
      <c r="M1533" s="4"/>
      <c r="N1533" s="11">
        <v>350</v>
      </c>
      <c r="O1533" s="4" t="s">
        <v>56</v>
      </c>
      <c r="P1533" s="4" t="s">
        <v>57</v>
      </c>
      <c r="Q1533" s="11">
        <v>0</v>
      </c>
      <c r="R1533" s="4"/>
      <c r="S1533" s="12"/>
    </row>
    <row r="1534" spans="1:19" x14ac:dyDescent="0.25">
      <c r="A1534" s="9" t="s">
        <v>1117</v>
      </c>
      <c r="B1534" s="9" t="s">
        <v>291</v>
      </c>
      <c r="C1534" s="4">
        <v>201000857</v>
      </c>
      <c r="D1534" s="4" t="s">
        <v>1243</v>
      </c>
      <c r="E1534" s="4" t="str">
        <f>"030782010"</f>
        <v>030782010</v>
      </c>
      <c r="F1534" s="10">
        <v>40193</v>
      </c>
      <c r="G1534" s="11">
        <v>366.2</v>
      </c>
      <c r="H1534" s="11">
        <v>0</v>
      </c>
      <c r="I1534" s="4"/>
      <c r="J1534" s="4"/>
      <c r="K1534" s="11">
        <v>0</v>
      </c>
      <c r="L1534" s="4"/>
      <c r="M1534" s="4"/>
      <c r="N1534" s="11">
        <v>366.2</v>
      </c>
      <c r="O1534" s="4" t="s">
        <v>56</v>
      </c>
      <c r="P1534" s="4" t="s">
        <v>57</v>
      </c>
      <c r="Q1534" s="11">
        <v>0</v>
      </c>
      <c r="R1534" s="4"/>
      <c r="S1534" s="12"/>
    </row>
    <row r="1535" spans="1:19" x14ac:dyDescent="0.25">
      <c r="A1535" s="9" t="s">
        <v>1117</v>
      </c>
      <c r="B1535" s="9" t="s">
        <v>291</v>
      </c>
      <c r="C1535" s="4">
        <v>201000859</v>
      </c>
      <c r="D1535" s="4" t="s">
        <v>1244</v>
      </c>
      <c r="E1535" s="4" t="str">
        <f>"016612010"</f>
        <v>016612010</v>
      </c>
      <c r="F1535" s="10">
        <v>40150</v>
      </c>
      <c r="G1535" s="11">
        <v>350</v>
      </c>
      <c r="H1535" s="11">
        <v>0</v>
      </c>
      <c r="I1535" s="4"/>
      <c r="J1535" s="4"/>
      <c r="K1535" s="11">
        <v>350</v>
      </c>
      <c r="L1535" s="4" t="s">
        <v>56</v>
      </c>
      <c r="M1535" s="4" t="s">
        <v>57</v>
      </c>
      <c r="N1535" s="11">
        <v>0</v>
      </c>
      <c r="O1535" s="4"/>
      <c r="P1535" s="4"/>
      <c r="Q1535" s="11">
        <v>0</v>
      </c>
      <c r="R1535" s="4"/>
      <c r="S1535" s="12"/>
    </row>
    <row r="1536" spans="1:19" x14ac:dyDescent="0.25">
      <c r="A1536" s="9" t="s">
        <v>1117</v>
      </c>
      <c r="B1536" s="9" t="s">
        <v>291</v>
      </c>
      <c r="C1536" s="4">
        <v>201000861</v>
      </c>
      <c r="D1536" s="4" t="s">
        <v>1245</v>
      </c>
      <c r="E1536" s="4" t="str">
        <f>"016572010"</f>
        <v>016572010</v>
      </c>
      <c r="F1536" s="10">
        <v>40150</v>
      </c>
      <c r="G1536" s="11">
        <v>379.6</v>
      </c>
      <c r="H1536" s="11">
        <v>0</v>
      </c>
      <c r="I1536" s="4"/>
      <c r="J1536" s="4"/>
      <c r="K1536" s="11">
        <v>0</v>
      </c>
      <c r="L1536" s="4"/>
      <c r="M1536" s="4"/>
      <c r="N1536" s="11">
        <v>379.6</v>
      </c>
      <c r="O1536" s="4" t="s">
        <v>56</v>
      </c>
      <c r="P1536" s="4" t="s">
        <v>57</v>
      </c>
      <c r="Q1536" s="11">
        <v>0</v>
      </c>
      <c r="R1536" s="4"/>
      <c r="S1536" s="12"/>
    </row>
    <row r="1537" spans="1:19" x14ac:dyDescent="0.25">
      <c r="A1537" s="9" t="s">
        <v>1117</v>
      </c>
      <c r="B1537" s="9" t="s">
        <v>291</v>
      </c>
      <c r="C1537" s="4">
        <v>201000868</v>
      </c>
      <c r="D1537" s="4" t="s">
        <v>1246</v>
      </c>
      <c r="E1537" s="4" t="str">
        <f>"017982010"</f>
        <v>017982010</v>
      </c>
      <c r="F1537" s="10">
        <v>40150</v>
      </c>
      <c r="G1537" s="11">
        <v>382.4</v>
      </c>
      <c r="H1537" s="11">
        <v>0</v>
      </c>
      <c r="I1537" s="4"/>
      <c r="J1537" s="4"/>
      <c r="K1537" s="11">
        <v>0</v>
      </c>
      <c r="L1537" s="4"/>
      <c r="M1537" s="4"/>
      <c r="N1537" s="11">
        <v>382.4</v>
      </c>
      <c r="O1537" s="4" t="s">
        <v>56</v>
      </c>
      <c r="P1537" s="4" t="s">
        <v>57</v>
      </c>
      <c r="Q1537" s="11">
        <v>0</v>
      </c>
      <c r="R1537" s="4"/>
      <c r="S1537" s="12"/>
    </row>
    <row r="1538" spans="1:19" x14ac:dyDescent="0.25">
      <c r="A1538" s="9" t="s">
        <v>1117</v>
      </c>
      <c r="B1538" s="9" t="s">
        <v>291</v>
      </c>
      <c r="C1538" s="4">
        <v>201000869</v>
      </c>
      <c r="D1538" s="4" t="s">
        <v>1247</v>
      </c>
      <c r="E1538" s="4" t="str">
        <f>"018162010"</f>
        <v>018162010</v>
      </c>
      <c r="F1538" s="10">
        <v>40151</v>
      </c>
      <c r="G1538" s="11">
        <v>36.869999999999997</v>
      </c>
      <c r="H1538" s="11">
        <v>0</v>
      </c>
      <c r="I1538" s="4"/>
      <c r="J1538" s="4"/>
      <c r="K1538" s="11">
        <v>0</v>
      </c>
      <c r="L1538" s="4"/>
      <c r="M1538" s="4"/>
      <c r="N1538" s="11">
        <v>36.869999999999997</v>
      </c>
      <c r="O1538" s="4" t="s">
        <v>56</v>
      </c>
      <c r="P1538" s="4" t="s">
        <v>57</v>
      </c>
      <c r="Q1538" s="11">
        <v>0</v>
      </c>
      <c r="R1538" s="4"/>
      <c r="S1538" s="12"/>
    </row>
    <row r="1539" spans="1:19" x14ac:dyDescent="0.25">
      <c r="A1539" s="9" t="s">
        <v>1117</v>
      </c>
      <c r="B1539" s="9" t="s">
        <v>291</v>
      </c>
      <c r="C1539" s="4">
        <v>201000871</v>
      </c>
      <c r="D1539" s="4" t="s">
        <v>1248</v>
      </c>
      <c r="E1539" s="4" t="str">
        <f>"018122010"</f>
        <v>018122010</v>
      </c>
      <c r="F1539" s="10">
        <v>40151</v>
      </c>
      <c r="G1539" s="11">
        <v>1072.5999999999999</v>
      </c>
      <c r="H1539" s="11">
        <v>0</v>
      </c>
      <c r="I1539" s="4"/>
      <c r="J1539" s="4"/>
      <c r="K1539" s="11">
        <v>0</v>
      </c>
      <c r="L1539" s="4"/>
      <c r="M1539" s="4"/>
      <c r="N1539" s="11">
        <v>1072.5999999999999</v>
      </c>
      <c r="O1539" s="4" t="s">
        <v>56</v>
      </c>
      <c r="P1539" s="4" t="s">
        <v>57</v>
      </c>
      <c r="Q1539" s="11">
        <v>0</v>
      </c>
      <c r="R1539" s="4"/>
      <c r="S1539" s="12"/>
    </row>
    <row r="1540" spans="1:19" x14ac:dyDescent="0.25">
      <c r="A1540" s="9" t="s">
        <v>1117</v>
      </c>
      <c r="B1540" s="9" t="s">
        <v>291</v>
      </c>
      <c r="C1540" s="4">
        <v>201000872</v>
      </c>
      <c r="D1540" s="4" t="s">
        <v>1249</v>
      </c>
      <c r="E1540" s="4" t="str">
        <f>"018102010"</f>
        <v>018102010</v>
      </c>
      <c r="F1540" s="10">
        <v>40151</v>
      </c>
      <c r="G1540" s="11">
        <v>15.63</v>
      </c>
      <c r="H1540" s="11">
        <v>0</v>
      </c>
      <c r="I1540" s="4"/>
      <c r="J1540" s="4"/>
      <c r="K1540" s="11">
        <v>0</v>
      </c>
      <c r="L1540" s="4"/>
      <c r="M1540" s="4"/>
      <c r="N1540" s="11">
        <v>15.63</v>
      </c>
      <c r="O1540" s="4" t="s">
        <v>56</v>
      </c>
      <c r="P1540" s="4" t="s">
        <v>57</v>
      </c>
      <c r="Q1540" s="11">
        <v>0</v>
      </c>
      <c r="R1540" s="4"/>
      <c r="S1540" s="12"/>
    </row>
    <row r="1541" spans="1:19" x14ac:dyDescent="0.25">
      <c r="A1541" s="9" t="s">
        <v>1117</v>
      </c>
      <c r="B1541" s="9" t="s">
        <v>291</v>
      </c>
      <c r="C1541" s="4">
        <v>201000876</v>
      </c>
      <c r="D1541" s="4" t="s">
        <v>1122</v>
      </c>
      <c r="E1541" s="4" t="str">
        <f>"019192010"</f>
        <v>019192010</v>
      </c>
      <c r="F1541" s="10">
        <v>40156</v>
      </c>
      <c r="G1541" s="11">
        <v>350</v>
      </c>
      <c r="H1541" s="11">
        <v>0</v>
      </c>
      <c r="I1541" s="4"/>
      <c r="J1541" s="4"/>
      <c r="K1541" s="11">
        <v>0</v>
      </c>
      <c r="L1541" s="4"/>
      <c r="M1541" s="4"/>
      <c r="N1541" s="11">
        <v>350</v>
      </c>
      <c r="O1541" s="4" t="s">
        <v>56</v>
      </c>
      <c r="P1541" s="4" t="s">
        <v>57</v>
      </c>
      <c r="Q1541" s="11">
        <v>0</v>
      </c>
      <c r="R1541" s="4"/>
      <c r="S1541" s="12"/>
    </row>
    <row r="1542" spans="1:19" x14ac:dyDescent="0.25">
      <c r="A1542" s="9" t="s">
        <v>1117</v>
      </c>
      <c r="B1542" s="9" t="s">
        <v>291</v>
      </c>
      <c r="C1542" s="4">
        <v>201000881</v>
      </c>
      <c r="D1542" s="4" t="s">
        <v>1250</v>
      </c>
      <c r="E1542" s="4" t="str">
        <f>"016842010"</f>
        <v>016842010</v>
      </c>
      <c r="F1542" s="10">
        <v>40149</v>
      </c>
      <c r="G1542" s="11">
        <v>350</v>
      </c>
      <c r="H1542" s="11">
        <v>0</v>
      </c>
      <c r="I1542" s="4"/>
      <c r="J1542" s="4"/>
      <c r="K1542" s="11">
        <v>0</v>
      </c>
      <c r="L1542" s="4"/>
      <c r="M1542" s="4"/>
      <c r="N1542" s="11">
        <v>350</v>
      </c>
      <c r="O1542" s="4" t="s">
        <v>56</v>
      </c>
      <c r="P1542" s="4" t="s">
        <v>57</v>
      </c>
      <c r="Q1542" s="11">
        <v>0</v>
      </c>
      <c r="R1542" s="4"/>
      <c r="S1542" s="12"/>
    </row>
    <row r="1543" spans="1:19" x14ac:dyDescent="0.25">
      <c r="A1543" s="9" t="s">
        <v>1117</v>
      </c>
      <c r="B1543" s="9" t="s">
        <v>291</v>
      </c>
      <c r="C1543" s="4">
        <v>201000883</v>
      </c>
      <c r="D1543" s="4" t="s">
        <v>1251</v>
      </c>
      <c r="E1543" s="4" t="str">
        <f>"016822010"</f>
        <v>016822010</v>
      </c>
      <c r="F1543" s="10">
        <v>40149</v>
      </c>
      <c r="G1543" s="11">
        <v>350</v>
      </c>
      <c r="H1543" s="11">
        <v>0</v>
      </c>
      <c r="I1543" s="4"/>
      <c r="J1543" s="4"/>
      <c r="K1543" s="11">
        <v>0</v>
      </c>
      <c r="L1543" s="4"/>
      <c r="M1543" s="4"/>
      <c r="N1543" s="11">
        <v>350</v>
      </c>
      <c r="O1543" s="4" t="s">
        <v>56</v>
      </c>
      <c r="P1543" s="4" t="s">
        <v>57</v>
      </c>
      <c r="Q1543" s="11">
        <v>0</v>
      </c>
      <c r="R1543" s="4"/>
      <c r="S1543" s="12"/>
    </row>
    <row r="1544" spans="1:19" x14ac:dyDescent="0.25">
      <c r="A1544" s="9" t="s">
        <v>1117</v>
      </c>
      <c r="B1544" s="9" t="s">
        <v>291</v>
      </c>
      <c r="C1544" s="4">
        <v>201000887</v>
      </c>
      <c r="D1544" s="4" t="s">
        <v>1252</v>
      </c>
      <c r="E1544" s="4" t="str">
        <f>"016942010"</f>
        <v>016942010</v>
      </c>
      <c r="F1544" s="10">
        <v>40149</v>
      </c>
      <c r="G1544" s="11">
        <v>350</v>
      </c>
      <c r="H1544" s="11">
        <v>0</v>
      </c>
      <c r="I1544" s="4"/>
      <c r="J1544" s="4"/>
      <c r="K1544" s="11">
        <v>0</v>
      </c>
      <c r="L1544" s="4"/>
      <c r="M1544" s="4"/>
      <c r="N1544" s="11">
        <v>350</v>
      </c>
      <c r="O1544" s="4" t="s">
        <v>56</v>
      </c>
      <c r="P1544" s="4" t="s">
        <v>57</v>
      </c>
      <c r="Q1544" s="11">
        <v>0</v>
      </c>
      <c r="R1544" s="4"/>
      <c r="S1544" s="12"/>
    </row>
    <row r="1545" spans="1:19" x14ac:dyDescent="0.25">
      <c r="A1545" s="9" t="s">
        <v>1117</v>
      </c>
      <c r="B1545" s="9" t="s">
        <v>291</v>
      </c>
      <c r="C1545" s="4">
        <v>201000888</v>
      </c>
      <c r="D1545" s="4" t="s">
        <v>1253</v>
      </c>
      <c r="E1545" s="4" t="str">
        <f>"016962010"</f>
        <v>016962010</v>
      </c>
      <c r="F1545" s="10">
        <v>40149</v>
      </c>
      <c r="G1545" s="11">
        <v>350</v>
      </c>
      <c r="H1545" s="11">
        <v>0</v>
      </c>
      <c r="I1545" s="4"/>
      <c r="J1545" s="4"/>
      <c r="K1545" s="11">
        <v>0</v>
      </c>
      <c r="L1545" s="4"/>
      <c r="M1545" s="4"/>
      <c r="N1545" s="11">
        <v>350</v>
      </c>
      <c r="O1545" s="4" t="s">
        <v>56</v>
      </c>
      <c r="P1545" s="4" t="s">
        <v>57</v>
      </c>
      <c r="Q1545" s="11">
        <v>0</v>
      </c>
      <c r="R1545" s="4"/>
      <c r="S1545" s="12"/>
    </row>
    <row r="1546" spans="1:19" x14ac:dyDescent="0.25">
      <c r="A1546" s="9" t="s">
        <v>1117</v>
      </c>
      <c r="B1546" s="9" t="s">
        <v>291</v>
      </c>
      <c r="C1546" s="4">
        <v>201000889</v>
      </c>
      <c r="D1546" s="4" t="s">
        <v>1254</v>
      </c>
      <c r="E1546" s="4" t="str">
        <f>"016982010"</f>
        <v>016982010</v>
      </c>
      <c r="F1546" s="10">
        <v>40149</v>
      </c>
      <c r="G1546" s="11">
        <v>350</v>
      </c>
      <c r="H1546" s="11">
        <v>0</v>
      </c>
      <c r="I1546" s="4"/>
      <c r="J1546" s="4"/>
      <c r="K1546" s="11">
        <v>0</v>
      </c>
      <c r="L1546" s="4"/>
      <c r="M1546" s="4"/>
      <c r="N1546" s="11">
        <v>350</v>
      </c>
      <c r="O1546" s="4" t="s">
        <v>56</v>
      </c>
      <c r="P1546" s="4" t="s">
        <v>57</v>
      </c>
      <c r="Q1546" s="11">
        <v>0</v>
      </c>
      <c r="R1546" s="4"/>
      <c r="S1546" s="12"/>
    </row>
    <row r="1547" spans="1:19" x14ac:dyDescent="0.25">
      <c r="A1547" s="9" t="s">
        <v>1117</v>
      </c>
      <c r="B1547" s="9" t="s">
        <v>291</v>
      </c>
      <c r="C1547" s="4">
        <v>201000904</v>
      </c>
      <c r="D1547" s="4" t="s">
        <v>1255</v>
      </c>
      <c r="E1547" s="4" t="str">
        <f>"017382010"</f>
        <v>017382010</v>
      </c>
      <c r="F1547" s="10">
        <v>40150</v>
      </c>
      <c r="G1547" s="11">
        <v>355.38</v>
      </c>
      <c r="H1547" s="11">
        <v>0</v>
      </c>
      <c r="I1547" s="4"/>
      <c r="J1547" s="4"/>
      <c r="K1547" s="11">
        <v>0</v>
      </c>
      <c r="L1547" s="4"/>
      <c r="M1547" s="4"/>
      <c r="N1547" s="11">
        <v>355.38</v>
      </c>
      <c r="O1547" s="4" t="s">
        <v>56</v>
      </c>
      <c r="P1547" s="4" t="s">
        <v>57</v>
      </c>
      <c r="Q1547" s="11">
        <v>0</v>
      </c>
      <c r="R1547" s="4"/>
      <c r="S1547" s="12"/>
    </row>
    <row r="1548" spans="1:19" x14ac:dyDescent="0.25">
      <c r="A1548" s="9" t="s">
        <v>1117</v>
      </c>
      <c r="B1548" s="9" t="s">
        <v>291</v>
      </c>
      <c r="C1548" s="4">
        <v>201000905</v>
      </c>
      <c r="D1548" s="4" t="s">
        <v>1160</v>
      </c>
      <c r="E1548" s="4" t="str">
        <f>"017422010"</f>
        <v>017422010</v>
      </c>
      <c r="F1548" s="10">
        <v>40150</v>
      </c>
      <c r="G1548" s="11">
        <v>350</v>
      </c>
      <c r="H1548" s="11">
        <v>0</v>
      </c>
      <c r="I1548" s="4"/>
      <c r="J1548" s="4"/>
      <c r="K1548" s="11">
        <v>0</v>
      </c>
      <c r="L1548" s="4"/>
      <c r="M1548" s="4"/>
      <c r="N1548" s="11">
        <v>350</v>
      </c>
      <c r="O1548" s="4" t="s">
        <v>56</v>
      </c>
      <c r="P1548" s="4" t="s">
        <v>57</v>
      </c>
      <c r="Q1548" s="11">
        <v>0</v>
      </c>
      <c r="R1548" s="4"/>
      <c r="S1548" s="12"/>
    </row>
    <row r="1549" spans="1:19" x14ac:dyDescent="0.25">
      <c r="A1549" s="9" t="s">
        <v>1117</v>
      </c>
      <c r="B1549" s="9" t="s">
        <v>291</v>
      </c>
      <c r="C1549" s="4">
        <v>201000920</v>
      </c>
      <c r="D1549" s="4" t="s">
        <v>1212</v>
      </c>
      <c r="E1549" s="4" t="str">
        <f>"017662010"</f>
        <v>017662010</v>
      </c>
      <c r="F1549" s="10">
        <v>40150</v>
      </c>
      <c r="G1549" s="11">
        <v>350</v>
      </c>
      <c r="H1549" s="11">
        <v>0</v>
      </c>
      <c r="I1549" s="4"/>
      <c r="J1549" s="4"/>
      <c r="K1549" s="11">
        <v>0</v>
      </c>
      <c r="L1549" s="4"/>
      <c r="M1549" s="4"/>
      <c r="N1549" s="11">
        <v>350</v>
      </c>
      <c r="O1549" s="4" t="s">
        <v>56</v>
      </c>
      <c r="P1549" s="4" t="s">
        <v>57</v>
      </c>
      <c r="Q1549" s="11">
        <v>0</v>
      </c>
      <c r="R1549" s="4"/>
      <c r="S1549" s="12"/>
    </row>
    <row r="1550" spans="1:19" x14ac:dyDescent="0.25">
      <c r="A1550" s="9" t="s">
        <v>1117</v>
      </c>
      <c r="B1550" s="9" t="s">
        <v>291</v>
      </c>
      <c r="C1550" s="4">
        <v>201000926</v>
      </c>
      <c r="D1550" s="4" t="s">
        <v>1256</v>
      </c>
      <c r="E1550" s="4" t="str">
        <f>"017442010"</f>
        <v>017442010</v>
      </c>
      <c r="F1550" s="10">
        <v>40150</v>
      </c>
      <c r="G1550" s="11">
        <v>366.47</v>
      </c>
      <c r="H1550" s="11">
        <v>0</v>
      </c>
      <c r="I1550" s="4"/>
      <c r="J1550" s="4"/>
      <c r="K1550" s="11">
        <v>0</v>
      </c>
      <c r="L1550" s="4"/>
      <c r="M1550" s="4"/>
      <c r="N1550" s="11">
        <v>366.47</v>
      </c>
      <c r="O1550" s="4" t="s">
        <v>56</v>
      </c>
      <c r="P1550" s="4" t="s">
        <v>57</v>
      </c>
      <c r="Q1550" s="11">
        <v>0</v>
      </c>
      <c r="R1550" s="4"/>
      <c r="S1550" s="12"/>
    </row>
    <row r="1551" spans="1:19" x14ac:dyDescent="0.25">
      <c r="A1551" s="9" t="s">
        <v>1117</v>
      </c>
      <c r="B1551" s="9" t="s">
        <v>291</v>
      </c>
      <c r="C1551" s="4">
        <v>201000927</v>
      </c>
      <c r="D1551" s="4" t="s">
        <v>1257</v>
      </c>
      <c r="E1551" s="4" t="str">
        <f>"019472010"</f>
        <v>019472010</v>
      </c>
      <c r="F1551" s="10">
        <v>40156</v>
      </c>
      <c r="G1551" s="11">
        <v>350</v>
      </c>
      <c r="H1551" s="11">
        <v>0</v>
      </c>
      <c r="I1551" s="4"/>
      <c r="J1551" s="4"/>
      <c r="K1551" s="11">
        <v>0</v>
      </c>
      <c r="L1551" s="4"/>
      <c r="M1551" s="4"/>
      <c r="N1551" s="11">
        <v>350</v>
      </c>
      <c r="O1551" s="4" t="s">
        <v>56</v>
      </c>
      <c r="P1551" s="4" t="s">
        <v>57</v>
      </c>
      <c r="Q1551" s="11">
        <v>0</v>
      </c>
      <c r="R1551" s="4"/>
      <c r="S1551" s="12"/>
    </row>
    <row r="1552" spans="1:19" x14ac:dyDescent="0.25">
      <c r="A1552" s="9" t="s">
        <v>1117</v>
      </c>
      <c r="B1552" s="9" t="s">
        <v>291</v>
      </c>
      <c r="C1552" s="4">
        <v>201000936</v>
      </c>
      <c r="D1552" s="4" t="s">
        <v>1258</v>
      </c>
      <c r="E1552" s="4" t="str">
        <f>"017842010"</f>
        <v>017842010</v>
      </c>
      <c r="F1552" s="10">
        <v>40150</v>
      </c>
      <c r="G1552" s="11">
        <v>350</v>
      </c>
      <c r="H1552" s="11">
        <v>0</v>
      </c>
      <c r="I1552" s="4"/>
      <c r="J1552" s="4"/>
      <c r="K1552" s="11">
        <v>0</v>
      </c>
      <c r="L1552" s="4"/>
      <c r="M1552" s="4"/>
      <c r="N1552" s="11">
        <v>350</v>
      </c>
      <c r="O1552" s="4" t="s">
        <v>56</v>
      </c>
      <c r="P1552" s="4" t="s">
        <v>57</v>
      </c>
      <c r="Q1552" s="11">
        <v>0</v>
      </c>
      <c r="R1552" s="4"/>
      <c r="S1552" s="12"/>
    </row>
    <row r="1553" spans="1:19" x14ac:dyDescent="0.25">
      <c r="A1553" s="9" t="s">
        <v>1117</v>
      </c>
      <c r="B1553" s="9" t="s">
        <v>291</v>
      </c>
      <c r="C1553" s="4">
        <v>201000939</v>
      </c>
      <c r="D1553" s="4" t="s">
        <v>1259</v>
      </c>
      <c r="E1553" s="4" t="str">
        <f>"018042010"</f>
        <v>018042010</v>
      </c>
      <c r="F1553" s="10">
        <v>40151</v>
      </c>
      <c r="G1553" s="11">
        <v>350</v>
      </c>
      <c r="H1553" s="11">
        <v>0</v>
      </c>
      <c r="I1553" s="4"/>
      <c r="J1553" s="4"/>
      <c r="K1553" s="11">
        <v>0</v>
      </c>
      <c r="L1553" s="4"/>
      <c r="M1553" s="4"/>
      <c r="N1553" s="11">
        <v>350</v>
      </c>
      <c r="O1553" s="4" t="s">
        <v>308</v>
      </c>
      <c r="P1553" s="4" t="s">
        <v>309</v>
      </c>
      <c r="Q1553" s="11">
        <v>0</v>
      </c>
      <c r="R1553" s="4"/>
      <c r="S1553" s="12"/>
    </row>
    <row r="1554" spans="1:19" x14ac:dyDescent="0.25">
      <c r="A1554" s="9" t="s">
        <v>1117</v>
      </c>
      <c r="B1554" s="9" t="s">
        <v>291</v>
      </c>
      <c r="C1554" s="4">
        <v>201000943</v>
      </c>
      <c r="D1554" s="4" t="s">
        <v>1258</v>
      </c>
      <c r="E1554" s="4" t="str">
        <f>"018062010"</f>
        <v>018062010</v>
      </c>
      <c r="F1554" s="10">
        <v>40151</v>
      </c>
      <c r="G1554" s="11">
        <v>350</v>
      </c>
      <c r="H1554" s="11">
        <v>0</v>
      </c>
      <c r="I1554" s="4"/>
      <c r="J1554" s="4"/>
      <c r="K1554" s="11">
        <v>0</v>
      </c>
      <c r="L1554" s="4"/>
      <c r="M1554" s="4"/>
      <c r="N1554" s="11">
        <v>350</v>
      </c>
      <c r="O1554" s="4" t="s">
        <v>56</v>
      </c>
      <c r="P1554" s="4" t="s">
        <v>57</v>
      </c>
      <c r="Q1554" s="11">
        <v>0</v>
      </c>
      <c r="R1554" s="4"/>
      <c r="S1554" s="12"/>
    </row>
    <row r="1555" spans="1:19" x14ac:dyDescent="0.25">
      <c r="A1555" s="9" t="s">
        <v>1117</v>
      </c>
      <c r="B1555" s="9" t="s">
        <v>291</v>
      </c>
      <c r="C1555" s="4">
        <v>201000947</v>
      </c>
      <c r="D1555" s="4"/>
      <c r="E1555" s="4" t="str">
        <f>"019392010"</f>
        <v>019392010</v>
      </c>
      <c r="F1555" s="10">
        <v>40156</v>
      </c>
      <c r="G1555" s="11">
        <v>350</v>
      </c>
      <c r="H1555" s="11">
        <v>0</v>
      </c>
      <c r="I1555" s="4"/>
      <c r="J1555" s="4"/>
      <c r="K1555" s="11">
        <v>0</v>
      </c>
      <c r="L1555" s="4"/>
      <c r="M1555" s="4"/>
      <c r="N1555" s="11">
        <v>350</v>
      </c>
      <c r="O1555" s="4" t="s">
        <v>56</v>
      </c>
      <c r="P1555" s="4" t="s">
        <v>57</v>
      </c>
      <c r="Q1555" s="11">
        <v>0</v>
      </c>
      <c r="R1555" s="4"/>
      <c r="S1555" s="12"/>
    </row>
    <row r="1556" spans="1:19" x14ac:dyDescent="0.25">
      <c r="A1556" s="9" t="s">
        <v>1117</v>
      </c>
      <c r="B1556" s="9" t="s">
        <v>291</v>
      </c>
      <c r="C1556" s="4">
        <v>201000949</v>
      </c>
      <c r="D1556" s="4"/>
      <c r="E1556" s="4" t="str">
        <f>"019172010"</f>
        <v>019172010</v>
      </c>
      <c r="F1556" s="10">
        <v>40156</v>
      </c>
      <c r="G1556" s="11">
        <v>263.49</v>
      </c>
      <c r="H1556" s="11">
        <v>0</v>
      </c>
      <c r="I1556" s="4"/>
      <c r="J1556" s="4"/>
      <c r="K1556" s="11">
        <v>0</v>
      </c>
      <c r="L1556" s="4"/>
      <c r="M1556" s="4"/>
      <c r="N1556" s="11">
        <v>263.49</v>
      </c>
      <c r="O1556" s="4" t="s">
        <v>56</v>
      </c>
      <c r="P1556" s="4" t="s">
        <v>57</v>
      </c>
      <c r="Q1556" s="11">
        <v>0</v>
      </c>
      <c r="R1556" s="4"/>
      <c r="S1556" s="12"/>
    </row>
    <row r="1557" spans="1:19" x14ac:dyDescent="0.25">
      <c r="A1557" s="9" t="s">
        <v>1117</v>
      </c>
      <c r="B1557" s="9" t="s">
        <v>291</v>
      </c>
      <c r="C1557" s="4">
        <v>201000956</v>
      </c>
      <c r="D1557" s="4" t="s">
        <v>1159</v>
      </c>
      <c r="E1557" s="4" t="str">
        <f>"018292010"</f>
        <v>018292010</v>
      </c>
      <c r="F1557" s="10">
        <v>40151</v>
      </c>
      <c r="G1557" s="11">
        <v>350</v>
      </c>
      <c r="H1557" s="11">
        <v>0</v>
      </c>
      <c r="I1557" s="4"/>
      <c r="J1557" s="4"/>
      <c r="K1557" s="11">
        <v>0</v>
      </c>
      <c r="L1557" s="4"/>
      <c r="M1557" s="4"/>
      <c r="N1557" s="11">
        <v>350</v>
      </c>
      <c r="O1557" s="4" t="s">
        <v>308</v>
      </c>
      <c r="P1557" s="4" t="s">
        <v>309</v>
      </c>
      <c r="Q1557" s="11">
        <v>0</v>
      </c>
      <c r="R1557" s="4"/>
      <c r="S1557" s="12"/>
    </row>
    <row r="1558" spans="1:19" x14ac:dyDescent="0.25">
      <c r="A1558" s="9" t="s">
        <v>1117</v>
      </c>
      <c r="B1558" s="9" t="s">
        <v>291</v>
      </c>
      <c r="C1558" s="4">
        <v>201000958</v>
      </c>
      <c r="D1558" s="4" t="s">
        <v>1260</v>
      </c>
      <c r="E1558" s="4" t="str">
        <f>"018872010"</f>
        <v>018872010</v>
      </c>
      <c r="F1558" s="10">
        <v>40154</v>
      </c>
      <c r="G1558" s="11">
        <v>163.49</v>
      </c>
      <c r="H1558" s="11">
        <v>0</v>
      </c>
      <c r="I1558" s="4"/>
      <c r="J1558" s="4"/>
      <c r="K1558" s="11">
        <v>0</v>
      </c>
      <c r="L1558" s="4"/>
      <c r="M1558" s="4"/>
      <c r="N1558" s="11">
        <v>163.49</v>
      </c>
      <c r="O1558" s="4" t="s">
        <v>56</v>
      </c>
      <c r="P1558" s="4" t="s">
        <v>57</v>
      </c>
      <c r="Q1558" s="11">
        <v>0</v>
      </c>
      <c r="R1558" s="4"/>
      <c r="S1558" s="12"/>
    </row>
    <row r="1559" spans="1:19" x14ac:dyDescent="0.25">
      <c r="A1559" s="9" t="s">
        <v>1117</v>
      </c>
      <c r="B1559" s="9" t="s">
        <v>291</v>
      </c>
      <c r="C1559" s="4">
        <v>201000959</v>
      </c>
      <c r="D1559" s="4" t="s">
        <v>1261</v>
      </c>
      <c r="E1559" s="4" t="str">
        <f>"018492010"</f>
        <v>018492010</v>
      </c>
      <c r="F1559" s="10">
        <v>40155</v>
      </c>
      <c r="G1559" s="11">
        <v>24</v>
      </c>
      <c r="H1559" s="11">
        <v>0</v>
      </c>
      <c r="I1559" s="4"/>
      <c r="J1559" s="4"/>
      <c r="K1559" s="11">
        <v>0</v>
      </c>
      <c r="L1559" s="4"/>
      <c r="M1559" s="4"/>
      <c r="N1559" s="11">
        <v>24</v>
      </c>
      <c r="O1559" s="4" t="s">
        <v>56</v>
      </c>
      <c r="P1559" s="4" t="s">
        <v>57</v>
      </c>
      <c r="Q1559" s="11">
        <v>0</v>
      </c>
      <c r="R1559" s="4"/>
      <c r="S1559" s="12"/>
    </row>
    <row r="1560" spans="1:19" x14ac:dyDescent="0.25">
      <c r="A1560" s="9" t="s">
        <v>1117</v>
      </c>
      <c r="B1560" s="9" t="s">
        <v>291</v>
      </c>
      <c r="C1560" s="4">
        <v>201000962</v>
      </c>
      <c r="D1560" s="4" t="s">
        <v>1262</v>
      </c>
      <c r="E1560" s="4" t="str">
        <f>"019312010"</f>
        <v>019312010</v>
      </c>
      <c r="F1560" s="10">
        <v>40156</v>
      </c>
      <c r="G1560" s="11">
        <v>350</v>
      </c>
      <c r="H1560" s="11">
        <v>0</v>
      </c>
      <c r="I1560" s="4"/>
      <c r="J1560" s="4"/>
      <c r="K1560" s="11">
        <v>0</v>
      </c>
      <c r="L1560" s="4"/>
      <c r="M1560" s="4"/>
      <c r="N1560" s="11">
        <v>350</v>
      </c>
      <c r="O1560" s="4" t="s">
        <v>56</v>
      </c>
      <c r="P1560" s="4" t="s">
        <v>57</v>
      </c>
      <c r="Q1560" s="11">
        <v>0</v>
      </c>
      <c r="R1560" s="4"/>
      <c r="S1560" s="12"/>
    </row>
    <row r="1561" spans="1:19" x14ac:dyDescent="0.25">
      <c r="A1561" s="9" t="s">
        <v>1117</v>
      </c>
      <c r="B1561" s="9" t="s">
        <v>291</v>
      </c>
      <c r="C1561" s="4">
        <v>201000965</v>
      </c>
      <c r="D1561" s="4" t="s">
        <v>1263</v>
      </c>
      <c r="E1561" s="4" t="str">
        <f>"018632010"</f>
        <v>018632010</v>
      </c>
      <c r="F1561" s="10">
        <v>40154</v>
      </c>
      <c r="G1561" s="11">
        <v>22.95</v>
      </c>
      <c r="H1561" s="11">
        <v>0</v>
      </c>
      <c r="I1561" s="4"/>
      <c r="J1561" s="4"/>
      <c r="K1561" s="11">
        <v>0</v>
      </c>
      <c r="L1561" s="4"/>
      <c r="M1561" s="4"/>
      <c r="N1561" s="11">
        <v>22.95</v>
      </c>
      <c r="O1561" s="4" t="s">
        <v>56</v>
      </c>
      <c r="P1561" s="4" t="s">
        <v>57</v>
      </c>
      <c r="Q1561" s="11">
        <v>0</v>
      </c>
      <c r="R1561" s="4"/>
      <c r="S1561" s="12"/>
    </row>
    <row r="1562" spans="1:19" x14ac:dyDescent="0.25">
      <c r="A1562" s="9" t="s">
        <v>1117</v>
      </c>
      <c r="B1562" s="9" t="s">
        <v>291</v>
      </c>
      <c r="C1562" s="4">
        <v>201000966</v>
      </c>
      <c r="D1562" s="4" t="s">
        <v>1262</v>
      </c>
      <c r="E1562" s="4" t="str">
        <f>"019492010"</f>
        <v>019492010</v>
      </c>
      <c r="F1562" s="10">
        <v>40156</v>
      </c>
      <c r="G1562" s="11">
        <v>350</v>
      </c>
      <c r="H1562" s="11">
        <v>0</v>
      </c>
      <c r="I1562" s="4"/>
      <c r="J1562" s="4"/>
      <c r="K1562" s="11">
        <v>0</v>
      </c>
      <c r="L1562" s="4"/>
      <c r="M1562" s="4"/>
      <c r="N1562" s="11">
        <v>350</v>
      </c>
      <c r="O1562" s="4" t="s">
        <v>56</v>
      </c>
      <c r="P1562" s="4" t="s">
        <v>57</v>
      </c>
      <c r="Q1562" s="11">
        <v>0</v>
      </c>
      <c r="R1562" s="4"/>
      <c r="S1562" s="12"/>
    </row>
    <row r="1563" spans="1:19" x14ac:dyDescent="0.25">
      <c r="A1563" s="9" t="s">
        <v>1117</v>
      </c>
      <c r="B1563" s="9" t="s">
        <v>291</v>
      </c>
      <c r="C1563" s="4">
        <v>201001006</v>
      </c>
      <c r="D1563" s="4" t="s">
        <v>1264</v>
      </c>
      <c r="E1563" s="4" t="str">
        <f>"018952010"</f>
        <v>018952010</v>
      </c>
      <c r="F1563" s="10">
        <v>40155</v>
      </c>
      <c r="G1563" s="11">
        <v>613</v>
      </c>
      <c r="H1563" s="11">
        <v>0</v>
      </c>
      <c r="I1563" s="4"/>
      <c r="J1563" s="4"/>
      <c r="K1563" s="11">
        <v>0</v>
      </c>
      <c r="L1563" s="4"/>
      <c r="M1563" s="4"/>
      <c r="N1563" s="11">
        <v>613</v>
      </c>
      <c r="O1563" s="4" t="s">
        <v>56</v>
      </c>
      <c r="P1563" s="4" t="s">
        <v>57</v>
      </c>
      <c r="Q1563" s="11">
        <v>0</v>
      </c>
      <c r="R1563" s="4"/>
      <c r="S1563" s="12"/>
    </row>
    <row r="1564" spans="1:19" x14ac:dyDescent="0.25">
      <c r="A1564" s="9" t="s">
        <v>1117</v>
      </c>
      <c r="B1564" s="9" t="s">
        <v>291</v>
      </c>
      <c r="C1564" s="4">
        <v>201001013</v>
      </c>
      <c r="D1564" s="4"/>
      <c r="E1564" s="4" t="str">
        <f>"019332010"</f>
        <v>019332010</v>
      </c>
      <c r="F1564" s="10">
        <v>40156</v>
      </c>
      <c r="G1564" s="11">
        <v>350</v>
      </c>
      <c r="H1564" s="11">
        <v>0</v>
      </c>
      <c r="I1564" s="4"/>
      <c r="J1564" s="4"/>
      <c r="K1564" s="11">
        <v>0</v>
      </c>
      <c r="L1564" s="4"/>
      <c r="M1564" s="4"/>
      <c r="N1564" s="11">
        <v>350</v>
      </c>
      <c r="O1564" s="4" t="s">
        <v>56</v>
      </c>
      <c r="P1564" s="4" t="s">
        <v>57</v>
      </c>
      <c r="Q1564" s="11">
        <v>0</v>
      </c>
      <c r="R1564" s="4"/>
      <c r="S1564" s="12"/>
    </row>
    <row r="1565" spans="1:19" x14ac:dyDescent="0.25">
      <c r="A1565" s="9" t="s">
        <v>1117</v>
      </c>
      <c r="B1565" s="9" t="s">
        <v>291</v>
      </c>
      <c r="C1565" s="4">
        <v>201001016</v>
      </c>
      <c r="D1565" s="4"/>
      <c r="E1565" s="4" t="str">
        <f>"019662010"</f>
        <v>019662010</v>
      </c>
      <c r="F1565" s="10">
        <v>40157</v>
      </c>
      <c r="G1565" s="11">
        <v>387</v>
      </c>
      <c r="H1565" s="11">
        <v>387</v>
      </c>
      <c r="I1565" s="4" t="s">
        <v>56</v>
      </c>
      <c r="J1565" s="4" t="s">
        <v>57</v>
      </c>
      <c r="K1565" s="11">
        <v>0</v>
      </c>
      <c r="L1565" s="4"/>
      <c r="M1565" s="4"/>
      <c r="N1565" s="11">
        <v>0</v>
      </c>
      <c r="O1565" s="4"/>
      <c r="P1565" s="4"/>
      <c r="Q1565" s="11">
        <v>0</v>
      </c>
      <c r="R1565" s="4"/>
      <c r="S1565" s="12"/>
    </row>
    <row r="1566" spans="1:19" x14ac:dyDescent="0.25">
      <c r="A1566" s="9" t="s">
        <v>1117</v>
      </c>
      <c r="B1566" s="9" t="s">
        <v>291</v>
      </c>
      <c r="C1566" s="4">
        <v>201001017</v>
      </c>
      <c r="D1566" s="4"/>
      <c r="E1566" s="4" t="str">
        <f>"019432010"</f>
        <v>019432010</v>
      </c>
      <c r="F1566" s="10">
        <v>40156</v>
      </c>
      <c r="G1566" s="11">
        <v>378.6</v>
      </c>
      <c r="H1566" s="11">
        <v>0</v>
      </c>
      <c r="I1566" s="4"/>
      <c r="J1566" s="4"/>
      <c r="K1566" s="11">
        <v>0</v>
      </c>
      <c r="L1566" s="4"/>
      <c r="M1566" s="4"/>
      <c r="N1566" s="11">
        <v>378.6</v>
      </c>
      <c r="O1566" s="4" t="s">
        <v>56</v>
      </c>
      <c r="P1566" s="4" t="s">
        <v>57</v>
      </c>
      <c r="Q1566" s="11">
        <v>0</v>
      </c>
      <c r="R1566" s="4"/>
      <c r="S1566" s="12"/>
    </row>
    <row r="1567" spans="1:19" x14ac:dyDescent="0.25">
      <c r="A1567" s="9" t="s">
        <v>1117</v>
      </c>
      <c r="B1567" s="9" t="s">
        <v>291</v>
      </c>
      <c r="C1567" s="4">
        <v>201001025</v>
      </c>
      <c r="D1567" s="4"/>
      <c r="E1567" s="4" t="str">
        <f>"019532010"</f>
        <v>019532010</v>
      </c>
      <c r="F1567" s="10">
        <v>40157</v>
      </c>
      <c r="G1567" s="11">
        <v>7</v>
      </c>
      <c r="H1567" s="11">
        <v>0</v>
      </c>
      <c r="I1567" s="4"/>
      <c r="J1567" s="4"/>
      <c r="K1567" s="11">
        <v>0</v>
      </c>
      <c r="L1567" s="4"/>
      <c r="M1567" s="4"/>
      <c r="N1567" s="11">
        <v>7</v>
      </c>
      <c r="O1567" s="4" t="s">
        <v>56</v>
      </c>
      <c r="P1567" s="4" t="s">
        <v>57</v>
      </c>
      <c r="Q1567" s="11">
        <v>0</v>
      </c>
      <c r="R1567" s="4"/>
      <c r="S1567" s="12"/>
    </row>
    <row r="1568" spans="1:19" x14ac:dyDescent="0.25">
      <c r="A1568" s="9" t="s">
        <v>1117</v>
      </c>
      <c r="B1568" s="9" t="s">
        <v>291</v>
      </c>
      <c r="C1568" s="4">
        <v>201001027</v>
      </c>
      <c r="D1568" s="4"/>
      <c r="E1568" s="4" t="str">
        <f>"019562010"</f>
        <v>019562010</v>
      </c>
      <c r="F1568" s="10">
        <v>40157</v>
      </c>
      <c r="G1568" s="11">
        <v>350</v>
      </c>
      <c r="H1568" s="11">
        <v>0</v>
      </c>
      <c r="I1568" s="4"/>
      <c r="J1568" s="4"/>
      <c r="K1568" s="11">
        <v>0</v>
      </c>
      <c r="L1568" s="4"/>
      <c r="M1568" s="4"/>
      <c r="N1568" s="11">
        <v>350</v>
      </c>
      <c r="O1568" s="4" t="s">
        <v>56</v>
      </c>
      <c r="P1568" s="4" t="s">
        <v>57</v>
      </c>
      <c r="Q1568" s="11">
        <v>0</v>
      </c>
      <c r="R1568" s="4"/>
      <c r="S1568" s="12"/>
    </row>
    <row r="1569" spans="1:19" x14ac:dyDescent="0.25">
      <c r="A1569" s="9" t="s">
        <v>1117</v>
      </c>
      <c r="B1569" s="9" t="s">
        <v>291</v>
      </c>
      <c r="C1569" s="4">
        <v>201001029</v>
      </c>
      <c r="D1569" s="4"/>
      <c r="E1569" s="4" t="str">
        <f>"020522010"</f>
        <v>020522010</v>
      </c>
      <c r="F1569" s="10">
        <v>40157</v>
      </c>
      <c r="G1569" s="11">
        <v>350</v>
      </c>
      <c r="H1569" s="11">
        <v>0</v>
      </c>
      <c r="I1569" s="4"/>
      <c r="J1569" s="4"/>
      <c r="K1569" s="11">
        <v>0</v>
      </c>
      <c r="L1569" s="4"/>
      <c r="M1569" s="4"/>
      <c r="N1569" s="11">
        <v>350</v>
      </c>
      <c r="O1569" s="4" t="s">
        <v>56</v>
      </c>
      <c r="P1569" s="4" t="s">
        <v>57</v>
      </c>
      <c r="Q1569" s="11">
        <v>0</v>
      </c>
      <c r="R1569" s="4"/>
      <c r="S1569" s="12"/>
    </row>
    <row r="1570" spans="1:19" x14ac:dyDescent="0.25">
      <c r="A1570" s="9" t="s">
        <v>1117</v>
      </c>
      <c r="B1570" s="9" t="s">
        <v>291</v>
      </c>
      <c r="C1570" s="4">
        <v>201001031</v>
      </c>
      <c r="D1570" s="4"/>
      <c r="E1570" s="4" t="str">
        <f>"020922010"</f>
        <v>020922010</v>
      </c>
      <c r="F1570" s="10">
        <v>40162</v>
      </c>
      <c r="G1570" s="11">
        <v>17.13</v>
      </c>
      <c r="H1570" s="11">
        <v>0</v>
      </c>
      <c r="I1570" s="4"/>
      <c r="J1570" s="4"/>
      <c r="K1570" s="11">
        <v>0</v>
      </c>
      <c r="L1570" s="4"/>
      <c r="M1570" s="4"/>
      <c r="N1570" s="11">
        <v>17.13</v>
      </c>
      <c r="O1570" s="4" t="s">
        <v>56</v>
      </c>
      <c r="P1570" s="4" t="s">
        <v>57</v>
      </c>
      <c r="Q1570" s="11">
        <v>0</v>
      </c>
      <c r="R1570" s="4"/>
      <c r="S1570" s="12"/>
    </row>
    <row r="1571" spans="1:19" x14ac:dyDescent="0.25">
      <c r="A1571" s="9" t="s">
        <v>1117</v>
      </c>
      <c r="B1571" s="9" t="s">
        <v>291</v>
      </c>
      <c r="C1571" s="4">
        <v>201001033</v>
      </c>
      <c r="D1571" s="4"/>
      <c r="E1571" s="4" t="str">
        <f>"020502010"</f>
        <v>020502010</v>
      </c>
      <c r="F1571" s="10">
        <v>40157</v>
      </c>
      <c r="G1571" s="11">
        <v>350</v>
      </c>
      <c r="H1571" s="11">
        <v>0</v>
      </c>
      <c r="I1571" s="4"/>
      <c r="J1571" s="4"/>
      <c r="K1571" s="11">
        <v>0</v>
      </c>
      <c r="L1571" s="4"/>
      <c r="M1571" s="4"/>
      <c r="N1571" s="11">
        <v>350</v>
      </c>
      <c r="O1571" s="4" t="s">
        <v>56</v>
      </c>
      <c r="P1571" s="4" t="s">
        <v>57</v>
      </c>
      <c r="Q1571" s="11">
        <v>0</v>
      </c>
      <c r="R1571" s="4"/>
      <c r="S1571" s="12"/>
    </row>
    <row r="1572" spans="1:19" x14ac:dyDescent="0.25">
      <c r="A1572" s="9" t="s">
        <v>1117</v>
      </c>
      <c r="B1572" s="9" t="s">
        <v>291</v>
      </c>
      <c r="C1572" s="4">
        <v>201001045</v>
      </c>
      <c r="D1572" s="4" t="s">
        <v>1265</v>
      </c>
      <c r="E1572" s="4" t="str">
        <f>"019802010"</f>
        <v>019802010</v>
      </c>
      <c r="F1572" s="10">
        <v>40157</v>
      </c>
      <c r="G1572" s="11">
        <v>350</v>
      </c>
      <c r="H1572" s="11">
        <v>0</v>
      </c>
      <c r="I1572" s="4"/>
      <c r="J1572" s="4"/>
      <c r="K1572" s="11">
        <v>0</v>
      </c>
      <c r="L1572" s="4"/>
      <c r="M1572" s="4"/>
      <c r="N1572" s="11">
        <v>350</v>
      </c>
      <c r="O1572" s="4" t="s">
        <v>56</v>
      </c>
      <c r="P1572" s="4" t="s">
        <v>57</v>
      </c>
      <c r="Q1572" s="11">
        <v>0</v>
      </c>
      <c r="R1572" s="4"/>
      <c r="S1572" s="12"/>
    </row>
    <row r="1573" spans="1:19" x14ac:dyDescent="0.25">
      <c r="A1573" s="9" t="s">
        <v>1117</v>
      </c>
      <c r="B1573" s="9" t="s">
        <v>291</v>
      </c>
      <c r="C1573" s="4">
        <v>201001061</v>
      </c>
      <c r="D1573" s="4" t="s">
        <v>1266</v>
      </c>
      <c r="E1573" s="4" t="str">
        <f>"019982010"</f>
        <v>019982010</v>
      </c>
      <c r="F1573" s="10">
        <v>40157</v>
      </c>
      <c r="G1573" s="11">
        <v>350</v>
      </c>
      <c r="H1573" s="11">
        <v>0</v>
      </c>
      <c r="I1573" s="4"/>
      <c r="J1573" s="4"/>
      <c r="K1573" s="11">
        <v>0</v>
      </c>
      <c r="L1573" s="4"/>
      <c r="M1573" s="4"/>
      <c r="N1573" s="11">
        <v>350</v>
      </c>
      <c r="O1573" s="4" t="s">
        <v>56</v>
      </c>
      <c r="P1573" s="4" t="s">
        <v>57</v>
      </c>
      <c r="Q1573" s="11">
        <v>0</v>
      </c>
      <c r="R1573" s="4"/>
      <c r="S1573" s="12"/>
    </row>
    <row r="1574" spans="1:19" x14ac:dyDescent="0.25">
      <c r="A1574" s="9" t="s">
        <v>1117</v>
      </c>
      <c r="B1574" s="9" t="s">
        <v>291</v>
      </c>
      <c r="C1574" s="4">
        <v>201001084</v>
      </c>
      <c r="D1574" s="4" t="s">
        <v>1267</v>
      </c>
      <c r="E1574" s="4" t="str">
        <f>"020622010"</f>
        <v>020622010</v>
      </c>
      <c r="F1574" s="10">
        <v>40158</v>
      </c>
      <c r="G1574" s="11">
        <v>381.2</v>
      </c>
      <c r="H1574" s="11">
        <v>0</v>
      </c>
      <c r="I1574" s="4"/>
      <c r="J1574" s="4"/>
      <c r="K1574" s="11">
        <v>0</v>
      </c>
      <c r="L1574" s="4"/>
      <c r="M1574" s="4"/>
      <c r="N1574" s="11">
        <v>381.2</v>
      </c>
      <c r="O1574" s="4" t="s">
        <v>56</v>
      </c>
      <c r="P1574" s="4" t="s">
        <v>57</v>
      </c>
      <c r="Q1574" s="11">
        <v>0</v>
      </c>
      <c r="R1574" s="4"/>
      <c r="S1574" s="12"/>
    </row>
    <row r="1575" spans="1:19" x14ac:dyDescent="0.25">
      <c r="A1575" s="9" t="s">
        <v>1117</v>
      </c>
      <c r="B1575" s="9" t="s">
        <v>291</v>
      </c>
      <c r="C1575" s="4">
        <v>201001089</v>
      </c>
      <c r="D1575" s="4" t="s">
        <v>1180</v>
      </c>
      <c r="E1575" s="4" t="str">
        <f>"021142010"</f>
        <v>021142010</v>
      </c>
      <c r="F1575" s="10">
        <v>40158</v>
      </c>
      <c r="G1575" s="11">
        <v>350</v>
      </c>
      <c r="H1575" s="11">
        <v>0</v>
      </c>
      <c r="I1575" s="4"/>
      <c r="J1575" s="4"/>
      <c r="K1575" s="11">
        <v>0</v>
      </c>
      <c r="L1575" s="4"/>
      <c r="M1575" s="4"/>
      <c r="N1575" s="11">
        <v>350</v>
      </c>
      <c r="O1575" s="4" t="s">
        <v>56</v>
      </c>
      <c r="P1575" s="4" t="s">
        <v>57</v>
      </c>
      <c r="Q1575" s="11">
        <v>0</v>
      </c>
      <c r="R1575" s="4"/>
      <c r="S1575" s="12"/>
    </row>
    <row r="1576" spans="1:19" x14ac:dyDescent="0.25">
      <c r="A1576" s="9" t="s">
        <v>1117</v>
      </c>
      <c r="B1576" s="9" t="s">
        <v>291</v>
      </c>
      <c r="C1576" s="4">
        <v>201001091</v>
      </c>
      <c r="D1576" s="4" t="s">
        <v>1268</v>
      </c>
      <c r="E1576" s="4" t="str">
        <f>"021312010"</f>
        <v>021312010</v>
      </c>
      <c r="F1576" s="10">
        <v>40161</v>
      </c>
      <c r="G1576" s="11">
        <v>309.2</v>
      </c>
      <c r="H1576" s="11">
        <v>0</v>
      </c>
      <c r="I1576" s="4"/>
      <c r="J1576" s="4"/>
      <c r="K1576" s="11">
        <v>0</v>
      </c>
      <c r="L1576" s="4"/>
      <c r="M1576" s="4"/>
      <c r="N1576" s="11">
        <v>309.2</v>
      </c>
      <c r="O1576" s="4" t="s">
        <v>56</v>
      </c>
      <c r="P1576" s="4" t="s">
        <v>57</v>
      </c>
      <c r="Q1576" s="11">
        <v>0</v>
      </c>
      <c r="R1576" s="4"/>
      <c r="S1576" s="12"/>
    </row>
    <row r="1577" spans="1:19" x14ac:dyDescent="0.25">
      <c r="A1577" s="9" t="s">
        <v>1117</v>
      </c>
      <c r="B1577" s="9" t="s">
        <v>291</v>
      </c>
      <c r="C1577" s="4">
        <v>201001101</v>
      </c>
      <c r="D1577" s="4" t="s">
        <v>1269</v>
      </c>
      <c r="E1577" s="4" t="str">
        <f>"021022010"</f>
        <v>021022010</v>
      </c>
      <c r="F1577" s="10">
        <v>40162</v>
      </c>
      <c r="G1577" s="11">
        <v>350</v>
      </c>
      <c r="H1577" s="11">
        <v>0</v>
      </c>
      <c r="I1577" s="4"/>
      <c r="J1577" s="4"/>
      <c r="K1577" s="11">
        <v>0</v>
      </c>
      <c r="L1577" s="4"/>
      <c r="M1577" s="4"/>
      <c r="N1577" s="11">
        <v>350</v>
      </c>
      <c r="O1577" s="4" t="s">
        <v>308</v>
      </c>
      <c r="P1577" s="4" t="s">
        <v>309</v>
      </c>
      <c r="Q1577" s="11">
        <v>0</v>
      </c>
      <c r="R1577" s="4"/>
      <c r="S1577" s="12"/>
    </row>
    <row r="1578" spans="1:19" x14ac:dyDescent="0.25">
      <c r="A1578" s="9" t="s">
        <v>1117</v>
      </c>
      <c r="B1578" s="9" t="s">
        <v>291</v>
      </c>
      <c r="C1578" s="4">
        <v>201001103</v>
      </c>
      <c r="D1578" s="4" t="s">
        <v>1270</v>
      </c>
      <c r="E1578" s="4" t="str">
        <f>"021002010"</f>
        <v>021002010</v>
      </c>
      <c r="F1578" s="10">
        <v>40162</v>
      </c>
      <c r="G1578" s="11">
        <v>18.739999999999998</v>
      </c>
      <c r="H1578" s="11">
        <v>0</v>
      </c>
      <c r="I1578" s="4"/>
      <c r="J1578" s="4"/>
      <c r="K1578" s="11">
        <v>0</v>
      </c>
      <c r="L1578" s="4"/>
      <c r="M1578" s="4"/>
      <c r="N1578" s="11">
        <v>18.739999999999998</v>
      </c>
      <c r="O1578" s="4" t="s">
        <v>308</v>
      </c>
      <c r="P1578" s="4" t="s">
        <v>309</v>
      </c>
      <c r="Q1578" s="11">
        <v>0</v>
      </c>
      <c r="R1578" s="4"/>
      <c r="S1578" s="12"/>
    </row>
    <row r="1579" spans="1:19" x14ac:dyDescent="0.25">
      <c r="A1579" s="9" t="s">
        <v>1117</v>
      </c>
      <c r="B1579" s="9" t="s">
        <v>291</v>
      </c>
      <c r="C1579" s="4">
        <v>201001110</v>
      </c>
      <c r="D1579" s="4" t="s">
        <v>1271</v>
      </c>
      <c r="E1579" s="4" t="str">
        <f>"021412010"</f>
        <v>021412010</v>
      </c>
      <c r="F1579" s="10">
        <v>40161</v>
      </c>
      <c r="G1579" s="11">
        <v>377.6</v>
      </c>
      <c r="H1579" s="11">
        <v>0</v>
      </c>
      <c r="I1579" s="4"/>
      <c r="J1579" s="4"/>
      <c r="K1579" s="11">
        <v>0</v>
      </c>
      <c r="L1579" s="4"/>
      <c r="M1579" s="4"/>
      <c r="N1579" s="11">
        <v>377.6</v>
      </c>
      <c r="O1579" s="4" t="s">
        <v>56</v>
      </c>
      <c r="P1579" s="4" t="s">
        <v>57</v>
      </c>
      <c r="Q1579" s="11">
        <v>0</v>
      </c>
      <c r="R1579" s="4"/>
      <c r="S1579" s="12"/>
    </row>
    <row r="1580" spans="1:19" x14ac:dyDescent="0.25">
      <c r="A1580" s="9" t="s">
        <v>1117</v>
      </c>
      <c r="B1580" s="9" t="s">
        <v>291</v>
      </c>
      <c r="C1580" s="4">
        <v>201001112</v>
      </c>
      <c r="D1580" s="4" t="s">
        <v>1272</v>
      </c>
      <c r="E1580" s="4" t="str">
        <f>"021732010"</f>
        <v>021732010</v>
      </c>
      <c r="F1580" s="10">
        <v>40161</v>
      </c>
      <c r="G1580" s="11">
        <v>350</v>
      </c>
      <c r="H1580" s="11">
        <v>0</v>
      </c>
      <c r="I1580" s="4"/>
      <c r="J1580" s="4"/>
      <c r="K1580" s="11">
        <v>0</v>
      </c>
      <c r="L1580" s="4"/>
      <c r="M1580" s="4"/>
      <c r="N1580" s="11">
        <v>350</v>
      </c>
      <c r="O1580" s="4" t="s">
        <v>56</v>
      </c>
      <c r="P1580" s="4" t="s">
        <v>57</v>
      </c>
      <c r="Q1580" s="11">
        <v>0</v>
      </c>
      <c r="R1580" s="4"/>
      <c r="S1580" s="12"/>
    </row>
    <row r="1581" spans="1:19" x14ac:dyDescent="0.25">
      <c r="A1581" s="9" t="s">
        <v>1117</v>
      </c>
      <c r="B1581" s="9" t="s">
        <v>291</v>
      </c>
      <c r="C1581" s="4">
        <v>201001114</v>
      </c>
      <c r="D1581" s="4" t="s">
        <v>1273</v>
      </c>
      <c r="E1581" s="4" t="str">
        <f>"021692010"</f>
        <v>021692010</v>
      </c>
      <c r="F1581" s="10">
        <v>40161</v>
      </c>
      <c r="G1581" s="11">
        <v>1233.0999999999999</v>
      </c>
      <c r="H1581" s="11">
        <v>0</v>
      </c>
      <c r="I1581" s="4"/>
      <c r="J1581" s="4"/>
      <c r="K1581" s="11">
        <v>0</v>
      </c>
      <c r="L1581" s="4"/>
      <c r="M1581" s="4"/>
      <c r="N1581" s="11">
        <v>1233.0999999999999</v>
      </c>
      <c r="O1581" s="4" t="s">
        <v>56</v>
      </c>
      <c r="P1581" s="4" t="s">
        <v>57</v>
      </c>
      <c r="Q1581" s="11">
        <v>0</v>
      </c>
      <c r="R1581" s="4"/>
      <c r="S1581" s="12"/>
    </row>
    <row r="1582" spans="1:19" x14ac:dyDescent="0.25">
      <c r="A1582" s="9" t="s">
        <v>1117</v>
      </c>
      <c r="B1582" s="9" t="s">
        <v>291</v>
      </c>
      <c r="C1582" s="4">
        <v>201001124</v>
      </c>
      <c r="D1582" s="4" t="s">
        <v>1274</v>
      </c>
      <c r="E1582" s="4" t="str">
        <f>"021852010"</f>
        <v>021852010</v>
      </c>
      <c r="F1582" s="10">
        <v>40161</v>
      </c>
      <c r="G1582" s="11">
        <v>350</v>
      </c>
      <c r="H1582" s="11">
        <v>0</v>
      </c>
      <c r="I1582" s="4"/>
      <c r="J1582" s="4"/>
      <c r="K1582" s="11">
        <v>0</v>
      </c>
      <c r="L1582" s="4"/>
      <c r="M1582" s="4"/>
      <c r="N1582" s="11">
        <v>350</v>
      </c>
      <c r="O1582" s="4" t="s">
        <v>308</v>
      </c>
      <c r="P1582" s="4" t="s">
        <v>309</v>
      </c>
      <c r="Q1582" s="11">
        <v>0</v>
      </c>
      <c r="R1582" s="4"/>
      <c r="S1582" s="12"/>
    </row>
    <row r="1583" spans="1:19" x14ac:dyDescent="0.25">
      <c r="A1583" s="9" t="s">
        <v>1117</v>
      </c>
      <c r="B1583" s="9" t="s">
        <v>291</v>
      </c>
      <c r="C1583" s="4">
        <v>201001135</v>
      </c>
      <c r="D1583" s="4" t="s">
        <v>1275</v>
      </c>
      <c r="E1583" s="4" t="str">
        <f>"022232010"</f>
        <v>022232010</v>
      </c>
      <c r="F1583" s="10">
        <v>40164</v>
      </c>
      <c r="G1583" s="11">
        <v>350</v>
      </c>
      <c r="H1583" s="11">
        <v>0</v>
      </c>
      <c r="I1583" s="4"/>
      <c r="J1583" s="4"/>
      <c r="K1583" s="11">
        <v>0</v>
      </c>
      <c r="L1583" s="4"/>
      <c r="M1583" s="4"/>
      <c r="N1583" s="11">
        <v>350</v>
      </c>
      <c r="O1583" s="4" t="s">
        <v>56</v>
      </c>
      <c r="P1583" s="4" t="s">
        <v>57</v>
      </c>
      <c r="Q1583" s="11">
        <v>0</v>
      </c>
      <c r="R1583" s="4"/>
      <c r="S1583" s="12"/>
    </row>
    <row r="1584" spans="1:19" x14ac:dyDescent="0.25">
      <c r="A1584" s="9" t="s">
        <v>1117</v>
      </c>
      <c r="B1584" s="9" t="s">
        <v>291</v>
      </c>
      <c r="C1584" s="4">
        <v>201001161</v>
      </c>
      <c r="D1584" s="4" t="s">
        <v>1258</v>
      </c>
      <c r="E1584" s="4" t="str">
        <f>"022812010"</f>
        <v>022812010</v>
      </c>
      <c r="F1584" s="10">
        <v>40165</v>
      </c>
      <c r="G1584" s="11">
        <v>350</v>
      </c>
      <c r="H1584" s="11">
        <v>0</v>
      </c>
      <c r="I1584" s="4"/>
      <c r="J1584" s="4"/>
      <c r="K1584" s="11">
        <v>0</v>
      </c>
      <c r="L1584" s="4"/>
      <c r="M1584" s="4"/>
      <c r="N1584" s="11">
        <v>350</v>
      </c>
      <c r="O1584" s="4" t="s">
        <v>56</v>
      </c>
      <c r="P1584" s="4" t="s">
        <v>57</v>
      </c>
      <c r="Q1584" s="11">
        <v>0</v>
      </c>
      <c r="R1584" s="4"/>
      <c r="S1584" s="12"/>
    </row>
    <row r="1585" spans="1:19" x14ac:dyDescent="0.25">
      <c r="A1585" s="9" t="s">
        <v>1117</v>
      </c>
      <c r="B1585" s="9" t="s">
        <v>291</v>
      </c>
      <c r="C1585" s="4">
        <v>201001178</v>
      </c>
      <c r="D1585" s="4" t="s">
        <v>1276</v>
      </c>
      <c r="E1585" s="4" t="str">
        <f>"023252010"</f>
        <v>023252010</v>
      </c>
      <c r="F1585" s="10">
        <v>40165</v>
      </c>
      <c r="G1585" s="11">
        <v>25.12</v>
      </c>
      <c r="H1585" s="11">
        <v>0</v>
      </c>
      <c r="I1585" s="4"/>
      <c r="J1585" s="4"/>
      <c r="K1585" s="11">
        <v>0</v>
      </c>
      <c r="L1585" s="4"/>
      <c r="M1585" s="4"/>
      <c r="N1585" s="11">
        <v>25.12</v>
      </c>
      <c r="O1585" s="4" t="s">
        <v>56</v>
      </c>
      <c r="P1585" s="4" t="s">
        <v>57</v>
      </c>
      <c r="Q1585" s="11">
        <v>0</v>
      </c>
      <c r="R1585" s="4"/>
      <c r="S1585" s="12"/>
    </row>
    <row r="1586" spans="1:19" x14ac:dyDescent="0.25">
      <c r="A1586" s="9" t="s">
        <v>1117</v>
      </c>
      <c r="B1586" s="9" t="s">
        <v>291</v>
      </c>
      <c r="C1586" s="4">
        <v>201001180</v>
      </c>
      <c r="D1586" s="4" t="s">
        <v>1271</v>
      </c>
      <c r="E1586" s="4" t="str">
        <f>"023232010"</f>
        <v>023232010</v>
      </c>
      <c r="F1586" s="10">
        <v>40165</v>
      </c>
      <c r="G1586" s="11">
        <v>389.8</v>
      </c>
      <c r="H1586" s="11">
        <v>0</v>
      </c>
      <c r="I1586" s="4"/>
      <c r="J1586" s="4"/>
      <c r="K1586" s="11">
        <v>0</v>
      </c>
      <c r="L1586" s="4"/>
      <c r="M1586" s="4"/>
      <c r="N1586" s="11">
        <v>389.8</v>
      </c>
      <c r="O1586" s="4" t="s">
        <v>56</v>
      </c>
      <c r="P1586" s="4" t="s">
        <v>57</v>
      </c>
      <c r="Q1586" s="11">
        <v>0</v>
      </c>
      <c r="R1586" s="4"/>
      <c r="S1586" s="12"/>
    </row>
    <row r="1587" spans="1:19" x14ac:dyDescent="0.25">
      <c r="A1587" s="9" t="s">
        <v>1117</v>
      </c>
      <c r="B1587" s="9" t="s">
        <v>291</v>
      </c>
      <c r="C1587" s="4">
        <v>201001181</v>
      </c>
      <c r="D1587" s="4" t="s">
        <v>1277</v>
      </c>
      <c r="E1587" s="4" t="str">
        <f>"023352010"</f>
        <v>023352010</v>
      </c>
      <c r="F1587" s="10">
        <v>40165</v>
      </c>
      <c r="G1587" s="11">
        <v>350</v>
      </c>
      <c r="H1587" s="11">
        <v>0</v>
      </c>
      <c r="I1587" s="4"/>
      <c r="J1587" s="4"/>
      <c r="K1587" s="11">
        <v>0</v>
      </c>
      <c r="L1587" s="4"/>
      <c r="M1587" s="4"/>
      <c r="N1587" s="11">
        <v>350</v>
      </c>
      <c r="O1587" s="4" t="s">
        <v>56</v>
      </c>
      <c r="P1587" s="4" t="s">
        <v>57</v>
      </c>
      <c r="Q1587" s="11">
        <v>0</v>
      </c>
      <c r="R1587" s="4"/>
      <c r="S1587" s="12"/>
    </row>
    <row r="1588" spans="1:19" x14ac:dyDescent="0.25">
      <c r="A1588" s="9" t="s">
        <v>1117</v>
      </c>
      <c r="B1588" s="9" t="s">
        <v>291</v>
      </c>
      <c r="C1588" s="4">
        <v>201001220</v>
      </c>
      <c r="D1588" s="4" t="s">
        <v>1278</v>
      </c>
      <c r="E1588" s="4" t="str">
        <f>"023932010"</f>
        <v>023932010</v>
      </c>
      <c r="F1588" s="10">
        <v>40170</v>
      </c>
      <c r="G1588" s="11">
        <v>350</v>
      </c>
      <c r="H1588" s="11">
        <v>0</v>
      </c>
      <c r="I1588" s="4"/>
      <c r="J1588" s="4"/>
      <c r="K1588" s="11">
        <v>0</v>
      </c>
      <c r="L1588" s="4"/>
      <c r="M1588" s="4"/>
      <c r="N1588" s="11">
        <v>350</v>
      </c>
      <c r="O1588" s="4" t="s">
        <v>56</v>
      </c>
      <c r="P1588" s="4" t="s">
        <v>57</v>
      </c>
      <c r="Q1588" s="11">
        <v>0</v>
      </c>
      <c r="R1588" s="4"/>
      <c r="S1588" s="12"/>
    </row>
    <row r="1589" spans="1:19" x14ac:dyDescent="0.25">
      <c r="A1589" s="9" t="s">
        <v>1117</v>
      </c>
      <c r="B1589" s="9" t="s">
        <v>291</v>
      </c>
      <c r="C1589" s="4">
        <v>201001229</v>
      </c>
      <c r="D1589" s="4" t="s">
        <v>1279</v>
      </c>
      <c r="E1589" s="4" t="str">
        <f>"024472010"</f>
        <v>024472010</v>
      </c>
      <c r="F1589" s="10">
        <v>40177</v>
      </c>
      <c r="G1589" s="11">
        <v>350</v>
      </c>
      <c r="H1589" s="11">
        <v>0</v>
      </c>
      <c r="I1589" s="4"/>
      <c r="J1589" s="4"/>
      <c r="K1589" s="11">
        <v>0</v>
      </c>
      <c r="L1589" s="4"/>
      <c r="M1589" s="4"/>
      <c r="N1589" s="11">
        <v>350</v>
      </c>
      <c r="O1589" s="4" t="s">
        <v>56</v>
      </c>
      <c r="P1589" s="4" t="s">
        <v>57</v>
      </c>
      <c r="Q1589" s="11">
        <v>0</v>
      </c>
      <c r="R1589" s="4"/>
      <c r="S1589" s="12"/>
    </row>
    <row r="1590" spans="1:19" x14ac:dyDescent="0.25">
      <c r="A1590" s="9" t="s">
        <v>1117</v>
      </c>
      <c r="B1590" s="9" t="s">
        <v>291</v>
      </c>
      <c r="C1590" s="4">
        <v>201001250</v>
      </c>
      <c r="D1590" s="4"/>
      <c r="E1590" s="4" t="str">
        <f>"024592010"</f>
        <v>024592010</v>
      </c>
      <c r="F1590" s="10">
        <v>40177</v>
      </c>
      <c r="G1590" s="11">
        <v>150</v>
      </c>
      <c r="H1590" s="11">
        <v>0</v>
      </c>
      <c r="I1590" s="4"/>
      <c r="J1590" s="4"/>
      <c r="K1590" s="11">
        <v>0</v>
      </c>
      <c r="L1590" s="4"/>
      <c r="M1590" s="4"/>
      <c r="N1590" s="11">
        <v>150</v>
      </c>
      <c r="O1590" s="4" t="s">
        <v>56</v>
      </c>
      <c r="P1590" s="4" t="s">
        <v>57</v>
      </c>
      <c r="Q1590" s="11">
        <v>0</v>
      </c>
      <c r="R1590" s="4"/>
      <c r="S1590" s="12"/>
    </row>
    <row r="1591" spans="1:19" x14ac:dyDescent="0.25">
      <c r="A1591" s="9" t="s">
        <v>1117</v>
      </c>
      <c r="B1591" s="9" t="s">
        <v>291</v>
      </c>
      <c r="C1591" s="4">
        <v>201001263</v>
      </c>
      <c r="D1591" s="4"/>
      <c r="E1591" s="4" t="str">
        <f>"025732010"</f>
        <v>025732010</v>
      </c>
      <c r="F1591" s="10">
        <v>40186</v>
      </c>
      <c r="G1591" s="11">
        <v>350</v>
      </c>
      <c r="H1591" s="11">
        <v>0</v>
      </c>
      <c r="I1591" s="4"/>
      <c r="J1591" s="4"/>
      <c r="K1591" s="11">
        <v>0</v>
      </c>
      <c r="L1591" s="4"/>
      <c r="M1591" s="4"/>
      <c r="N1591" s="11">
        <v>350</v>
      </c>
      <c r="O1591" s="4" t="s">
        <v>56</v>
      </c>
      <c r="P1591" s="4" t="s">
        <v>57</v>
      </c>
      <c r="Q1591" s="11">
        <v>0</v>
      </c>
      <c r="R1591" s="4"/>
      <c r="S1591" s="12"/>
    </row>
    <row r="1592" spans="1:19" x14ac:dyDescent="0.25">
      <c r="A1592" s="9" t="s">
        <v>1117</v>
      </c>
      <c r="B1592" s="9" t="s">
        <v>291</v>
      </c>
      <c r="C1592" s="4">
        <v>201001266</v>
      </c>
      <c r="D1592" s="4"/>
      <c r="E1592" s="4" t="str">
        <f>"026232010"</f>
        <v>026232010</v>
      </c>
      <c r="F1592" s="10">
        <v>40190</v>
      </c>
      <c r="G1592" s="11">
        <v>350</v>
      </c>
      <c r="H1592" s="11">
        <v>0</v>
      </c>
      <c r="I1592" s="4"/>
      <c r="J1592" s="4"/>
      <c r="K1592" s="11">
        <v>0</v>
      </c>
      <c r="L1592" s="4"/>
      <c r="M1592" s="4"/>
      <c r="N1592" s="11">
        <v>350</v>
      </c>
      <c r="O1592" s="4" t="s">
        <v>56</v>
      </c>
      <c r="P1592" s="4" t="s">
        <v>57</v>
      </c>
      <c r="Q1592" s="11">
        <v>0</v>
      </c>
      <c r="R1592" s="4"/>
      <c r="S1592" s="12"/>
    </row>
    <row r="1593" spans="1:19" x14ac:dyDescent="0.25">
      <c r="A1593" s="9" t="s">
        <v>1117</v>
      </c>
      <c r="B1593" s="9" t="s">
        <v>291</v>
      </c>
      <c r="C1593" s="4">
        <v>201001278</v>
      </c>
      <c r="D1593" s="4" t="s">
        <v>1280</v>
      </c>
      <c r="E1593" s="4" t="str">
        <f>"025072010"</f>
        <v>025072010</v>
      </c>
      <c r="F1593" s="10">
        <v>40177</v>
      </c>
      <c r="G1593" s="11">
        <v>350</v>
      </c>
      <c r="H1593" s="11">
        <v>0</v>
      </c>
      <c r="I1593" s="4"/>
      <c r="J1593" s="4"/>
      <c r="K1593" s="11">
        <v>0</v>
      </c>
      <c r="L1593" s="4"/>
      <c r="M1593" s="4"/>
      <c r="N1593" s="11">
        <v>350</v>
      </c>
      <c r="O1593" s="4" t="s">
        <v>56</v>
      </c>
      <c r="P1593" s="4" t="s">
        <v>57</v>
      </c>
      <c r="Q1593" s="11">
        <v>0</v>
      </c>
      <c r="R1593" s="4"/>
      <c r="S1593" s="12"/>
    </row>
    <row r="1594" spans="1:19" x14ac:dyDescent="0.25">
      <c r="A1594" s="9" t="s">
        <v>1117</v>
      </c>
      <c r="B1594" s="9" t="s">
        <v>291</v>
      </c>
      <c r="C1594" s="4">
        <v>201001280</v>
      </c>
      <c r="D1594" s="4" t="s">
        <v>1257</v>
      </c>
      <c r="E1594" s="4" t="str">
        <f>"024832010"</f>
        <v>024832010</v>
      </c>
      <c r="F1594" s="10">
        <v>40177</v>
      </c>
      <c r="G1594" s="11">
        <v>350</v>
      </c>
      <c r="H1594" s="11">
        <v>0</v>
      </c>
      <c r="I1594" s="4"/>
      <c r="J1594" s="4"/>
      <c r="K1594" s="11">
        <v>0</v>
      </c>
      <c r="L1594" s="4"/>
      <c r="M1594" s="4"/>
      <c r="N1594" s="11">
        <v>350</v>
      </c>
      <c r="O1594" s="4" t="s">
        <v>56</v>
      </c>
      <c r="P1594" s="4" t="s">
        <v>57</v>
      </c>
      <c r="Q1594" s="11">
        <v>0</v>
      </c>
      <c r="R1594" s="4"/>
      <c r="S1594" s="12"/>
    </row>
    <row r="1595" spans="1:19" x14ac:dyDescent="0.25">
      <c r="A1595" s="9" t="s">
        <v>1117</v>
      </c>
      <c r="B1595" s="9" t="s">
        <v>291</v>
      </c>
      <c r="C1595" s="4">
        <v>201001284</v>
      </c>
      <c r="D1595" s="4" t="s">
        <v>1281</v>
      </c>
      <c r="E1595" s="4" t="str">
        <f>"024812010"</f>
        <v>024812010</v>
      </c>
      <c r="F1595" s="10">
        <v>40177</v>
      </c>
      <c r="G1595" s="11">
        <v>357</v>
      </c>
      <c r="H1595" s="11">
        <v>0</v>
      </c>
      <c r="I1595" s="4"/>
      <c r="J1595" s="4"/>
      <c r="K1595" s="11">
        <v>0</v>
      </c>
      <c r="L1595" s="4"/>
      <c r="M1595" s="4"/>
      <c r="N1595" s="11">
        <v>357</v>
      </c>
      <c r="O1595" s="4" t="s">
        <v>56</v>
      </c>
      <c r="P1595" s="4" t="s">
        <v>57</v>
      </c>
      <c r="Q1595" s="11">
        <v>0</v>
      </c>
      <c r="R1595" s="4"/>
      <c r="S1595" s="12"/>
    </row>
    <row r="1596" spans="1:19" x14ac:dyDescent="0.25">
      <c r="A1596" s="9" t="s">
        <v>1117</v>
      </c>
      <c r="B1596" s="9" t="s">
        <v>291</v>
      </c>
      <c r="C1596" s="4">
        <v>201001289</v>
      </c>
      <c r="D1596" s="4" t="s">
        <v>1282</v>
      </c>
      <c r="E1596" s="4" t="str">
        <f>"025492010"</f>
        <v>025492010</v>
      </c>
      <c r="F1596" s="10">
        <v>40177</v>
      </c>
      <c r="G1596" s="11">
        <v>350</v>
      </c>
      <c r="H1596" s="11">
        <v>0</v>
      </c>
      <c r="I1596" s="4"/>
      <c r="J1596" s="4"/>
      <c r="K1596" s="11">
        <v>0</v>
      </c>
      <c r="L1596" s="4"/>
      <c r="M1596" s="4"/>
      <c r="N1596" s="11">
        <v>350</v>
      </c>
      <c r="O1596" s="4" t="s">
        <v>56</v>
      </c>
      <c r="P1596" s="4" t="s">
        <v>57</v>
      </c>
      <c r="Q1596" s="11">
        <v>0</v>
      </c>
      <c r="R1596" s="4"/>
      <c r="S1596" s="12"/>
    </row>
    <row r="1597" spans="1:19" x14ac:dyDescent="0.25">
      <c r="A1597" s="9" t="s">
        <v>1117</v>
      </c>
      <c r="B1597" s="9" t="s">
        <v>291</v>
      </c>
      <c r="C1597" s="4">
        <v>201001292</v>
      </c>
      <c r="D1597" s="4" t="s">
        <v>1283</v>
      </c>
      <c r="E1597" s="4" t="str">
        <f>"025052010"</f>
        <v>025052010</v>
      </c>
      <c r="F1597" s="10">
        <v>40177</v>
      </c>
      <c r="G1597" s="11">
        <v>7</v>
      </c>
      <c r="H1597" s="11">
        <v>0</v>
      </c>
      <c r="I1597" s="4"/>
      <c r="J1597" s="4"/>
      <c r="K1597" s="11">
        <v>0</v>
      </c>
      <c r="L1597" s="4"/>
      <c r="M1597" s="4"/>
      <c r="N1597" s="11">
        <v>7</v>
      </c>
      <c r="O1597" s="4" t="s">
        <v>56</v>
      </c>
      <c r="P1597" s="4" t="s">
        <v>57</v>
      </c>
      <c r="Q1597" s="11">
        <v>0</v>
      </c>
      <c r="R1597" s="4"/>
      <c r="S1597" s="12"/>
    </row>
    <row r="1598" spans="1:19" x14ac:dyDescent="0.25">
      <c r="A1598" s="9" t="s">
        <v>1117</v>
      </c>
      <c r="B1598" s="9" t="s">
        <v>291</v>
      </c>
      <c r="C1598" s="4">
        <v>201001293</v>
      </c>
      <c r="D1598" s="4" t="s">
        <v>1284</v>
      </c>
      <c r="E1598" s="4" t="str">
        <f>"027152010"</f>
        <v>027152010</v>
      </c>
      <c r="F1598" s="10">
        <v>40185</v>
      </c>
      <c r="G1598" s="11">
        <v>367.13</v>
      </c>
      <c r="H1598" s="11">
        <v>0</v>
      </c>
      <c r="I1598" s="4"/>
      <c r="J1598" s="4"/>
      <c r="K1598" s="11">
        <v>0</v>
      </c>
      <c r="L1598" s="4"/>
      <c r="M1598" s="4"/>
      <c r="N1598" s="11">
        <v>367.13</v>
      </c>
      <c r="O1598" s="4" t="s">
        <v>56</v>
      </c>
      <c r="P1598" s="4" t="s">
        <v>57</v>
      </c>
      <c r="Q1598" s="11">
        <v>0</v>
      </c>
      <c r="R1598" s="4"/>
      <c r="S1598" s="12"/>
    </row>
    <row r="1599" spans="1:19" x14ac:dyDescent="0.25">
      <c r="A1599" s="9" t="s">
        <v>1117</v>
      </c>
      <c r="B1599" s="9" t="s">
        <v>291</v>
      </c>
      <c r="C1599" s="4">
        <v>201001300</v>
      </c>
      <c r="D1599" s="4" t="s">
        <v>1285</v>
      </c>
      <c r="E1599" s="4" t="str">
        <f>"028382010"</f>
        <v>028382010</v>
      </c>
      <c r="F1599" s="10">
        <v>40186</v>
      </c>
      <c r="G1599" s="11">
        <v>22.5</v>
      </c>
      <c r="H1599" s="11">
        <v>0</v>
      </c>
      <c r="I1599" s="4"/>
      <c r="J1599" s="4"/>
      <c r="K1599" s="11">
        <v>0</v>
      </c>
      <c r="L1599" s="4"/>
      <c r="M1599" s="4"/>
      <c r="N1599" s="11">
        <v>22.5</v>
      </c>
      <c r="O1599" s="4" t="s">
        <v>56</v>
      </c>
      <c r="P1599" s="4" t="s">
        <v>57</v>
      </c>
      <c r="Q1599" s="11">
        <v>0</v>
      </c>
      <c r="R1599" s="4"/>
      <c r="S1599" s="12"/>
    </row>
    <row r="1600" spans="1:19" x14ac:dyDescent="0.25">
      <c r="A1600" s="9" t="s">
        <v>1117</v>
      </c>
      <c r="B1600" s="9" t="s">
        <v>291</v>
      </c>
      <c r="C1600" s="4">
        <v>201001301</v>
      </c>
      <c r="D1600" s="4" t="s">
        <v>1286</v>
      </c>
      <c r="E1600" s="4" t="str">
        <f>"025272010"</f>
        <v>025272010</v>
      </c>
      <c r="F1600" s="10">
        <v>40177</v>
      </c>
      <c r="G1600" s="11">
        <v>350</v>
      </c>
      <c r="H1600" s="11">
        <v>0</v>
      </c>
      <c r="I1600" s="4"/>
      <c r="J1600" s="4"/>
      <c r="K1600" s="11">
        <v>0</v>
      </c>
      <c r="L1600" s="4"/>
      <c r="M1600" s="4"/>
      <c r="N1600" s="11">
        <v>350</v>
      </c>
      <c r="O1600" s="4" t="s">
        <v>56</v>
      </c>
      <c r="P1600" s="4" t="s">
        <v>57</v>
      </c>
      <c r="Q1600" s="11">
        <v>0</v>
      </c>
      <c r="R1600" s="4"/>
      <c r="S1600" s="12"/>
    </row>
    <row r="1601" spans="1:19" x14ac:dyDescent="0.25">
      <c r="A1601" s="9" t="s">
        <v>1117</v>
      </c>
      <c r="B1601" s="9" t="s">
        <v>291</v>
      </c>
      <c r="C1601" s="4">
        <v>201001320</v>
      </c>
      <c r="D1601" s="4" t="s">
        <v>1287</v>
      </c>
      <c r="E1601" s="4" t="str">
        <f>"025652010"</f>
        <v>025652010</v>
      </c>
      <c r="F1601" s="10">
        <v>40183</v>
      </c>
      <c r="G1601" s="11">
        <v>359.28</v>
      </c>
      <c r="H1601" s="11">
        <v>0</v>
      </c>
      <c r="I1601" s="4"/>
      <c r="J1601" s="4"/>
      <c r="K1601" s="11">
        <v>0</v>
      </c>
      <c r="L1601" s="4"/>
      <c r="M1601" s="4"/>
      <c r="N1601" s="11">
        <v>359.28</v>
      </c>
      <c r="O1601" s="4" t="s">
        <v>56</v>
      </c>
      <c r="P1601" s="4" t="s">
        <v>57</v>
      </c>
      <c r="Q1601" s="11">
        <v>0</v>
      </c>
      <c r="R1601" s="4"/>
      <c r="S1601" s="12"/>
    </row>
    <row r="1602" spans="1:19" x14ac:dyDescent="0.25">
      <c r="A1602" s="9" t="s">
        <v>1117</v>
      </c>
      <c r="B1602" s="9" t="s">
        <v>291</v>
      </c>
      <c r="C1602" s="4">
        <v>201001325</v>
      </c>
      <c r="D1602" s="4" t="s">
        <v>1288</v>
      </c>
      <c r="E1602" s="4" t="str">
        <f>"025632010"</f>
        <v>025632010</v>
      </c>
      <c r="F1602" s="10">
        <v>40183</v>
      </c>
      <c r="G1602" s="11">
        <v>350</v>
      </c>
      <c r="H1602" s="11">
        <v>0</v>
      </c>
      <c r="I1602" s="4"/>
      <c r="J1602" s="4"/>
      <c r="K1602" s="11">
        <v>0</v>
      </c>
      <c r="L1602" s="4"/>
      <c r="M1602" s="4"/>
      <c r="N1602" s="11">
        <v>350</v>
      </c>
      <c r="O1602" s="4" t="s">
        <v>56</v>
      </c>
      <c r="P1602" s="4" t="s">
        <v>57</v>
      </c>
      <c r="Q1602" s="11">
        <v>0</v>
      </c>
      <c r="R1602" s="4"/>
      <c r="S1602" s="12"/>
    </row>
    <row r="1603" spans="1:19" x14ac:dyDescent="0.25">
      <c r="A1603" s="9" t="s">
        <v>1117</v>
      </c>
      <c r="B1603" s="9" t="s">
        <v>1117</v>
      </c>
      <c r="C1603" s="4">
        <v>201001327</v>
      </c>
      <c r="D1603" s="4" t="s">
        <v>1146</v>
      </c>
      <c r="E1603" s="4" t="str">
        <f>"025712010"</f>
        <v>025712010</v>
      </c>
      <c r="F1603" s="10">
        <v>40183</v>
      </c>
      <c r="G1603" s="11">
        <v>350</v>
      </c>
      <c r="H1603" s="11">
        <v>0</v>
      </c>
      <c r="I1603" s="4"/>
      <c r="J1603" s="4"/>
      <c r="K1603" s="11">
        <v>0</v>
      </c>
      <c r="L1603" s="4"/>
      <c r="M1603" s="4"/>
      <c r="N1603" s="11">
        <v>350</v>
      </c>
      <c r="O1603" s="4" t="s">
        <v>56</v>
      </c>
      <c r="P1603" s="4" t="s">
        <v>57</v>
      </c>
      <c r="Q1603" s="11">
        <v>0</v>
      </c>
      <c r="R1603" s="4"/>
      <c r="S1603" s="12"/>
    </row>
    <row r="1604" spans="1:19" x14ac:dyDescent="0.25">
      <c r="A1604" s="9" t="s">
        <v>1117</v>
      </c>
      <c r="B1604" s="9" t="s">
        <v>1117</v>
      </c>
      <c r="C1604" s="4">
        <v>201001338</v>
      </c>
      <c r="D1604" s="4" t="s">
        <v>1289</v>
      </c>
      <c r="E1604" s="4" t="str">
        <f>"025832010"</f>
        <v>025832010</v>
      </c>
      <c r="F1604" s="10">
        <v>40186</v>
      </c>
      <c r="G1604" s="11">
        <v>350</v>
      </c>
      <c r="H1604" s="11">
        <v>0</v>
      </c>
      <c r="I1604" s="4"/>
      <c r="J1604" s="4"/>
      <c r="K1604" s="11">
        <v>0</v>
      </c>
      <c r="L1604" s="4"/>
      <c r="M1604" s="4"/>
      <c r="N1604" s="11">
        <v>350</v>
      </c>
      <c r="O1604" s="4" t="s">
        <v>56</v>
      </c>
      <c r="P1604" s="4" t="s">
        <v>57</v>
      </c>
      <c r="Q1604" s="11">
        <v>0</v>
      </c>
      <c r="R1604" s="4"/>
      <c r="S1604" s="12"/>
    </row>
    <row r="1605" spans="1:19" x14ac:dyDescent="0.25">
      <c r="A1605" s="9" t="s">
        <v>1117</v>
      </c>
      <c r="B1605" s="9" t="s">
        <v>291</v>
      </c>
      <c r="C1605" s="4">
        <v>201001340</v>
      </c>
      <c r="D1605" s="4" t="s">
        <v>1290</v>
      </c>
      <c r="E1605" s="4" t="str">
        <f>"026092010"</f>
        <v>026092010</v>
      </c>
      <c r="F1605" s="10">
        <v>40186</v>
      </c>
      <c r="G1605" s="11">
        <v>350</v>
      </c>
      <c r="H1605" s="11">
        <v>0</v>
      </c>
      <c r="I1605" s="4"/>
      <c r="J1605" s="4"/>
      <c r="K1605" s="11">
        <v>0</v>
      </c>
      <c r="L1605" s="4"/>
      <c r="M1605" s="4"/>
      <c r="N1605" s="11">
        <v>350</v>
      </c>
      <c r="O1605" s="4" t="s">
        <v>56</v>
      </c>
      <c r="P1605" s="4" t="s">
        <v>57</v>
      </c>
      <c r="Q1605" s="11">
        <v>0</v>
      </c>
      <c r="R1605" s="4"/>
      <c r="S1605" s="12"/>
    </row>
    <row r="1606" spans="1:19" x14ac:dyDescent="0.25">
      <c r="A1606" s="9" t="s">
        <v>1117</v>
      </c>
      <c r="B1606" s="9" t="s">
        <v>1117</v>
      </c>
      <c r="C1606" s="4">
        <v>201001344</v>
      </c>
      <c r="D1606" s="4" t="s">
        <v>1291</v>
      </c>
      <c r="E1606" s="4" t="str">
        <f>"026132010"</f>
        <v>026132010</v>
      </c>
      <c r="F1606" s="10">
        <v>40190</v>
      </c>
      <c r="G1606" s="11">
        <v>350</v>
      </c>
      <c r="H1606" s="11">
        <v>0</v>
      </c>
      <c r="I1606" s="4"/>
      <c r="J1606" s="4"/>
      <c r="K1606" s="11">
        <v>0</v>
      </c>
      <c r="L1606" s="4"/>
      <c r="M1606" s="4"/>
      <c r="N1606" s="11">
        <v>350</v>
      </c>
      <c r="O1606" s="4" t="s">
        <v>56</v>
      </c>
      <c r="P1606" s="4" t="s">
        <v>57</v>
      </c>
      <c r="Q1606" s="11">
        <v>0</v>
      </c>
      <c r="R1606" s="4"/>
      <c r="S1606" s="12"/>
    </row>
    <row r="1607" spans="1:19" x14ac:dyDescent="0.25">
      <c r="A1607" s="9" t="s">
        <v>1117</v>
      </c>
      <c r="B1607" s="9" t="s">
        <v>291</v>
      </c>
      <c r="C1607" s="4">
        <v>201001345</v>
      </c>
      <c r="D1607" s="4" t="s">
        <v>1292</v>
      </c>
      <c r="E1607" s="4" t="str">
        <f>"028222010"</f>
        <v>028222010</v>
      </c>
      <c r="F1607" s="10">
        <v>40186</v>
      </c>
      <c r="G1607" s="11">
        <v>350</v>
      </c>
      <c r="H1607" s="11">
        <v>0</v>
      </c>
      <c r="I1607" s="4"/>
      <c r="J1607" s="4"/>
      <c r="K1607" s="11">
        <v>0</v>
      </c>
      <c r="L1607" s="4"/>
      <c r="M1607" s="4"/>
      <c r="N1607" s="11">
        <v>350</v>
      </c>
      <c r="O1607" s="4" t="s">
        <v>56</v>
      </c>
      <c r="P1607" s="4" t="s">
        <v>57</v>
      </c>
      <c r="Q1607" s="11">
        <v>0</v>
      </c>
      <c r="R1607" s="4"/>
      <c r="S1607" s="12"/>
    </row>
    <row r="1608" spans="1:19" x14ac:dyDescent="0.25">
      <c r="A1608" s="9" t="s">
        <v>1117</v>
      </c>
      <c r="B1608" s="9" t="s">
        <v>291</v>
      </c>
      <c r="C1608" s="4">
        <v>201001354</v>
      </c>
      <c r="D1608" s="4"/>
      <c r="E1608" s="4" t="str">
        <f>"026352010"</f>
        <v>026352010</v>
      </c>
      <c r="F1608" s="10">
        <v>40190</v>
      </c>
      <c r="G1608" s="11">
        <v>368.45</v>
      </c>
      <c r="H1608" s="11">
        <v>0</v>
      </c>
      <c r="I1608" s="4"/>
      <c r="J1608" s="4"/>
      <c r="K1608" s="11">
        <v>0</v>
      </c>
      <c r="L1608" s="4"/>
      <c r="M1608" s="4"/>
      <c r="N1608" s="11">
        <v>368.45</v>
      </c>
      <c r="O1608" s="4" t="s">
        <v>56</v>
      </c>
      <c r="P1608" s="4" t="s">
        <v>57</v>
      </c>
      <c r="Q1608" s="11">
        <v>0</v>
      </c>
      <c r="R1608" s="4"/>
      <c r="S1608" s="12"/>
    </row>
    <row r="1609" spans="1:19" x14ac:dyDescent="0.25">
      <c r="A1609" s="9" t="s">
        <v>1117</v>
      </c>
      <c r="B1609" s="9" t="s">
        <v>1117</v>
      </c>
      <c r="C1609" s="4">
        <v>201001371</v>
      </c>
      <c r="D1609" s="4"/>
      <c r="E1609" s="4" t="str">
        <f>"026392010"</f>
        <v>026392010</v>
      </c>
      <c r="F1609" s="10">
        <v>40190</v>
      </c>
      <c r="G1609" s="11">
        <v>350</v>
      </c>
      <c r="H1609" s="11">
        <v>0</v>
      </c>
      <c r="I1609" s="4"/>
      <c r="J1609" s="4"/>
      <c r="K1609" s="11">
        <v>0</v>
      </c>
      <c r="L1609" s="4"/>
      <c r="M1609" s="4"/>
      <c r="N1609" s="11">
        <v>350</v>
      </c>
      <c r="O1609" s="4" t="s">
        <v>56</v>
      </c>
      <c r="P1609" s="4" t="s">
        <v>57</v>
      </c>
      <c r="Q1609" s="11">
        <v>0</v>
      </c>
      <c r="R1609" s="4"/>
      <c r="S1609" s="12"/>
    </row>
    <row r="1610" spans="1:19" x14ac:dyDescent="0.25">
      <c r="A1610" s="9" t="s">
        <v>1117</v>
      </c>
      <c r="B1610" s="9" t="s">
        <v>1117</v>
      </c>
      <c r="C1610" s="4">
        <v>201001380</v>
      </c>
      <c r="D1610" s="4"/>
      <c r="E1610" s="4" t="str">
        <f>"026472010"</f>
        <v>026472010</v>
      </c>
      <c r="F1610" s="10">
        <v>40186</v>
      </c>
      <c r="G1610" s="11">
        <v>350</v>
      </c>
      <c r="H1610" s="11">
        <v>0</v>
      </c>
      <c r="I1610" s="4"/>
      <c r="J1610" s="4"/>
      <c r="K1610" s="11">
        <v>0</v>
      </c>
      <c r="L1610" s="4"/>
      <c r="M1610" s="4"/>
      <c r="N1610" s="11">
        <v>350</v>
      </c>
      <c r="O1610" s="4" t="s">
        <v>56</v>
      </c>
      <c r="P1610" s="4" t="s">
        <v>57</v>
      </c>
      <c r="Q1610" s="11">
        <v>0</v>
      </c>
      <c r="R1610" s="4"/>
      <c r="S1610" s="12"/>
    </row>
    <row r="1611" spans="1:19" x14ac:dyDescent="0.25">
      <c r="A1611" s="9" t="s">
        <v>1117</v>
      </c>
      <c r="B1611" s="9" t="s">
        <v>1117</v>
      </c>
      <c r="C1611" s="4">
        <v>201001382</v>
      </c>
      <c r="D1611" s="4"/>
      <c r="E1611" s="4" t="str">
        <f>"026492010"</f>
        <v>026492010</v>
      </c>
      <c r="F1611" s="10">
        <v>40186</v>
      </c>
      <c r="G1611" s="11">
        <v>350</v>
      </c>
      <c r="H1611" s="11">
        <v>0</v>
      </c>
      <c r="I1611" s="4"/>
      <c r="J1611" s="4"/>
      <c r="K1611" s="11">
        <v>0</v>
      </c>
      <c r="L1611" s="4"/>
      <c r="M1611" s="4"/>
      <c r="N1611" s="11">
        <v>350</v>
      </c>
      <c r="O1611" s="4" t="s">
        <v>56</v>
      </c>
      <c r="P1611" s="4" t="s">
        <v>57</v>
      </c>
      <c r="Q1611" s="11">
        <v>0</v>
      </c>
      <c r="R1611" s="4"/>
      <c r="S1611" s="12"/>
    </row>
    <row r="1612" spans="1:19" x14ac:dyDescent="0.25">
      <c r="A1612" s="9" t="s">
        <v>1117</v>
      </c>
      <c r="B1612" s="9" t="s">
        <v>291</v>
      </c>
      <c r="C1612" s="4">
        <v>201001384</v>
      </c>
      <c r="D1612" s="4"/>
      <c r="E1612" s="4" t="str">
        <f>"026512010"</f>
        <v>026512010</v>
      </c>
      <c r="F1612" s="10">
        <v>40185</v>
      </c>
      <c r="G1612" s="11">
        <v>350</v>
      </c>
      <c r="H1612" s="11">
        <v>0</v>
      </c>
      <c r="I1612" s="4"/>
      <c r="J1612" s="4"/>
      <c r="K1612" s="11">
        <v>0</v>
      </c>
      <c r="L1612" s="4"/>
      <c r="M1612" s="4"/>
      <c r="N1612" s="11">
        <v>350</v>
      </c>
      <c r="O1612" s="4" t="s">
        <v>56</v>
      </c>
      <c r="P1612" s="4" t="s">
        <v>57</v>
      </c>
      <c r="Q1612" s="11">
        <v>0</v>
      </c>
      <c r="R1612" s="4"/>
      <c r="S1612" s="12"/>
    </row>
    <row r="1613" spans="1:19" x14ac:dyDescent="0.25">
      <c r="A1613" s="9" t="s">
        <v>1117</v>
      </c>
      <c r="B1613" s="9" t="s">
        <v>291</v>
      </c>
      <c r="C1613" s="4">
        <v>201001389</v>
      </c>
      <c r="D1613" s="4" t="s">
        <v>1293</v>
      </c>
      <c r="E1613" s="4" t="str">
        <f>"026592010"</f>
        <v>026592010</v>
      </c>
      <c r="F1613" s="10">
        <v>40186</v>
      </c>
      <c r="G1613" s="11">
        <v>350</v>
      </c>
      <c r="H1613" s="11">
        <v>0</v>
      </c>
      <c r="I1613" s="4"/>
      <c r="J1613" s="4"/>
      <c r="K1613" s="11">
        <v>0</v>
      </c>
      <c r="L1613" s="4"/>
      <c r="M1613" s="4"/>
      <c r="N1613" s="11">
        <v>350</v>
      </c>
      <c r="O1613" s="4" t="s">
        <v>56</v>
      </c>
      <c r="P1613" s="4" t="s">
        <v>57</v>
      </c>
      <c r="Q1613" s="11">
        <v>0</v>
      </c>
      <c r="R1613" s="4"/>
      <c r="S1613" s="12"/>
    </row>
    <row r="1614" spans="1:19" x14ac:dyDescent="0.25">
      <c r="A1614" s="9" t="s">
        <v>1117</v>
      </c>
      <c r="B1614" s="9" t="s">
        <v>291</v>
      </c>
      <c r="C1614" s="4">
        <v>201001390</v>
      </c>
      <c r="D1614" s="4" t="s">
        <v>1293</v>
      </c>
      <c r="E1614" s="4" t="str">
        <f>"026772010"</f>
        <v>026772010</v>
      </c>
      <c r="F1614" s="10">
        <v>40185</v>
      </c>
      <c r="G1614" s="11">
        <v>350</v>
      </c>
      <c r="H1614" s="11">
        <v>0</v>
      </c>
      <c r="I1614" s="4"/>
      <c r="J1614" s="4"/>
      <c r="K1614" s="11">
        <v>0</v>
      </c>
      <c r="L1614" s="4"/>
      <c r="M1614" s="4"/>
      <c r="N1614" s="11">
        <v>350</v>
      </c>
      <c r="O1614" s="4" t="s">
        <v>56</v>
      </c>
      <c r="P1614" s="4" t="s">
        <v>57</v>
      </c>
      <c r="Q1614" s="11">
        <v>0</v>
      </c>
      <c r="R1614" s="4"/>
      <c r="S1614" s="12"/>
    </row>
    <row r="1615" spans="1:19" x14ac:dyDescent="0.25">
      <c r="A1615" s="9" t="s">
        <v>1117</v>
      </c>
      <c r="B1615" s="9" t="s">
        <v>291</v>
      </c>
      <c r="C1615" s="4">
        <v>201001393</v>
      </c>
      <c r="D1615" s="4" t="s">
        <v>1294</v>
      </c>
      <c r="E1615" s="4" t="str">
        <f>"027962010"</f>
        <v>027962010</v>
      </c>
      <c r="F1615" s="10">
        <v>40190</v>
      </c>
      <c r="G1615" s="11">
        <v>350</v>
      </c>
      <c r="H1615" s="11">
        <v>0</v>
      </c>
      <c r="I1615" s="4"/>
      <c r="J1615" s="4"/>
      <c r="K1615" s="11">
        <v>0</v>
      </c>
      <c r="L1615" s="4"/>
      <c r="M1615" s="4"/>
      <c r="N1615" s="11">
        <v>350</v>
      </c>
      <c r="O1615" s="4" t="s">
        <v>56</v>
      </c>
      <c r="P1615" s="4" t="s">
        <v>57</v>
      </c>
      <c r="Q1615" s="11">
        <v>0</v>
      </c>
      <c r="R1615" s="4"/>
      <c r="S1615" s="12"/>
    </row>
    <row r="1616" spans="1:19" x14ac:dyDescent="0.25">
      <c r="A1616" s="9" t="s">
        <v>1117</v>
      </c>
      <c r="B1616" s="9" t="s">
        <v>291</v>
      </c>
      <c r="C1616" s="4">
        <v>201001397</v>
      </c>
      <c r="D1616" s="4" t="s">
        <v>1295</v>
      </c>
      <c r="E1616" s="4" t="str">
        <f>"027872010"</f>
        <v>027872010</v>
      </c>
      <c r="F1616" s="10">
        <v>40186</v>
      </c>
      <c r="G1616" s="11">
        <v>350</v>
      </c>
      <c r="H1616" s="11">
        <v>0</v>
      </c>
      <c r="I1616" s="4"/>
      <c r="J1616" s="4"/>
      <c r="K1616" s="11">
        <v>0</v>
      </c>
      <c r="L1616" s="4"/>
      <c r="M1616" s="4"/>
      <c r="N1616" s="11">
        <v>350</v>
      </c>
      <c r="O1616" s="4" t="s">
        <v>56</v>
      </c>
      <c r="P1616" s="4" t="s">
        <v>57</v>
      </c>
      <c r="Q1616" s="11">
        <v>0</v>
      </c>
      <c r="R1616" s="4"/>
      <c r="S1616" s="12"/>
    </row>
    <row r="1617" spans="1:19" x14ac:dyDescent="0.25">
      <c r="A1617" s="9" t="s">
        <v>1117</v>
      </c>
      <c r="B1617" s="9" t="s">
        <v>291</v>
      </c>
      <c r="C1617" s="4">
        <v>201001406</v>
      </c>
      <c r="D1617" s="4" t="s">
        <v>1212</v>
      </c>
      <c r="E1617" s="4" t="str">
        <f>"027472010"</f>
        <v>027472010</v>
      </c>
      <c r="F1617" s="10">
        <v>40185</v>
      </c>
      <c r="G1617" s="11">
        <v>350</v>
      </c>
      <c r="H1617" s="11">
        <v>0</v>
      </c>
      <c r="I1617" s="4"/>
      <c r="J1617" s="4"/>
      <c r="K1617" s="11">
        <v>0</v>
      </c>
      <c r="L1617" s="4"/>
      <c r="M1617" s="4"/>
      <c r="N1617" s="11">
        <v>350</v>
      </c>
      <c r="O1617" s="4" t="s">
        <v>56</v>
      </c>
      <c r="P1617" s="4" t="s">
        <v>57</v>
      </c>
      <c r="Q1617" s="11">
        <v>0</v>
      </c>
      <c r="R1617" s="4"/>
      <c r="S1617" s="12"/>
    </row>
    <row r="1618" spans="1:19" x14ac:dyDescent="0.25">
      <c r="A1618" s="9" t="s">
        <v>1117</v>
      </c>
      <c r="B1618" s="9" t="s">
        <v>291</v>
      </c>
      <c r="C1618" s="4">
        <v>201001408</v>
      </c>
      <c r="D1618" s="4" t="s">
        <v>1293</v>
      </c>
      <c r="E1618" s="4" t="str">
        <f>"027332010"</f>
        <v>027332010</v>
      </c>
      <c r="F1618" s="10">
        <v>40185</v>
      </c>
      <c r="G1618" s="11">
        <v>350</v>
      </c>
      <c r="H1618" s="11">
        <v>0</v>
      </c>
      <c r="I1618" s="4"/>
      <c r="J1618" s="4"/>
      <c r="K1618" s="11">
        <v>0</v>
      </c>
      <c r="L1618" s="4"/>
      <c r="M1618" s="4"/>
      <c r="N1618" s="11">
        <v>350</v>
      </c>
      <c r="O1618" s="4" t="s">
        <v>56</v>
      </c>
      <c r="P1618" s="4" t="s">
        <v>57</v>
      </c>
      <c r="Q1618" s="11">
        <v>0</v>
      </c>
      <c r="R1618" s="4"/>
      <c r="S1618" s="12"/>
    </row>
    <row r="1619" spans="1:19" x14ac:dyDescent="0.25">
      <c r="A1619" s="9" t="s">
        <v>1117</v>
      </c>
      <c r="B1619" s="9" t="s">
        <v>1117</v>
      </c>
      <c r="C1619" s="4">
        <v>201001410</v>
      </c>
      <c r="D1619" s="4" t="s">
        <v>1296</v>
      </c>
      <c r="E1619" s="4" t="str">
        <f>"027552010"</f>
        <v>027552010</v>
      </c>
      <c r="F1619" s="10">
        <v>40185</v>
      </c>
      <c r="G1619" s="11">
        <v>350</v>
      </c>
      <c r="H1619" s="11">
        <v>0</v>
      </c>
      <c r="I1619" s="4"/>
      <c r="J1619" s="4"/>
      <c r="K1619" s="11">
        <v>0</v>
      </c>
      <c r="L1619" s="4"/>
      <c r="M1619" s="4"/>
      <c r="N1619" s="11">
        <v>350</v>
      </c>
      <c r="O1619" s="4" t="s">
        <v>56</v>
      </c>
      <c r="P1619" s="4" t="s">
        <v>57</v>
      </c>
      <c r="Q1619" s="11">
        <v>0</v>
      </c>
      <c r="R1619" s="4"/>
      <c r="S1619" s="12"/>
    </row>
    <row r="1620" spans="1:19" x14ac:dyDescent="0.25">
      <c r="A1620" s="9" t="s">
        <v>1117</v>
      </c>
      <c r="B1620" s="9" t="s">
        <v>1117</v>
      </c>
      <c r="C1620" s="4">
        <v>201001411</v>
      </c>
      <c r="D1620" s="4" t="s">
        <v>1297</v>
      </c>
      <c r="E1620" s="4" t="str">
        <f>"028302010"</f>
        <v>028302010</v>
      </c>
      <c r="F1620" s="10">
        <v>40186</v>
      </c>
      <c r="G1620" s="11">
        <v>350</v>
      </c>
      <c r="H1620" s="11">
        <v>0</v>
      </c>
      <c r="I1620" s="4"/>
      <c r="J1620" s="4"/>
      <c r="K1620" s="11">
        <v>0</v>
      </c>
      <c r="L1620" s="4"/>
      <c r="M1620" s="4"/>
      <c r="N1620" s="11">
        <v>350</v>
      </c>
      <c r="O1620" s="4" t="s">
        <v>56</v>
      </c>
      <c r="P1620" s="4" t="s">
        <v>57</v>
      </c>
      <c r="Q1620" s="11">
        <v>0</v>
      </c>
      <c r="R1620" s="4"/>
      <c r="S1620" s="12"/>
    </row>
    <row r="1621" spans="1:19" x14ac:dyDescent="0.25">
      <c r="A1621" s="9" t="s">
        <v>1117</v>
      </c>
      <c r="B1621" s="9" t="s">
        <v>291</v>
      </c>
      <c r="C1621" s="4">
        <v>201001412</v>
      </c>
      <c r="D1621" s="4" t="s">
        <v>1157</v>
      </c>
      <c r="E1621" s="4" t="str">
        <f>"027392010"</f>
        <v>027392010</v>
      </c>
      <c r="F1621" s="10">
        <v>40185</v>
      </c>
      <c r="G1621" s="11">
        <v>350</v>
      </c>
      <c r="H1621" s="11">
        <v>0</v>
      </c>
      <c r="I1621" s="4"/>
      <c r="J1621" s="4"/>
      <c r="K1621" s="11">
        <v>0</v>
      </c>
      <c r="L1621" s="4"/>
      <c r="M1621" s="4"/>
      <c r="N1621" s="11">
        <v>350</v>
      </c>
      <c r="O1621" s="4" t="s">
        <v>56</v>
      </c>
      <c r="P1621" s="4" t="s">
        <v>57</v>
      </c>
      <c r="Q1621" s="11">
        <v>0</v>
      </c>
      <c r="R1621" s="4"/>
      <c r="S1621" s="12"/>
    </row>
    <row r="1622" spans="1:19" x14ac:dyDescent="0.25">
      <c r="A1622" s="9" t="s">
        <v>1117</v>
      </c>
      <c r="B1622" s="9" t="s">
        <v>1117</v>
      </c>
      <c r="C1622" s="4">
        <v>201001413</v>
      </c>
      <c r="D1622" s="4" t="s">
        <v>1298</v>
      </c>
      <c r="E1622" s="4" t="str">
        <f>"027632010"</f>
        <v>027632010</v>
      </c>
      <c r="F1622" s="10">
        <v>40185</v>
      </c>
      <c r="G1622" s="11">
        <v>350</v>
      </c>
      <c r="H1622" s="11">
        <v>0</v>
      </c>
      <c r="I1622" s="4"/>
      <c r="J1622" s="4"/>
      <c r="K1622" s="11">
        <v>0</v>
      </c>
      <c r="L1622" s="4"/>
      <c r="M1622" s="4"/>
      <c r="N1622" s="11">
        <v>350</v>
      </c>
      <c r="O1622" s="4" t="s">
        <v>56</v>
      </c>
      <c r="P1622" s="4" t="s">
        <v>57</v>
      </c>
      <c r="Q1622" s="11">
        <v>0</v>
      </c>
      <c r="R1622" s="4"/>
      <c r="S1622" s="12"/>
    </row>
    <row r="1623" spans="1:19" x14ac:dyDescent="0.25">
      <c r="A1623" s="9" t="s">
        <v>1117</v>
      </c>
      <c r="B1623" s="9" t="s">
        <v>291</v>
      </c>
      <c r="C1623" s="4">
        <v>201001417</v>
      </c>
      <c r="D1623" s="4" t="s">
        <v>1299</v>
      </c>
      <c r="E1623" s="4" t="str">
        <f>"031702010"</f>
        <v>031702010</v>
      </c>
      <c r="F1623" s="10">
        <v>40198</v>
      </c>
      <c r="G1623" s="11">
        <v>350</v>
      </c>
      <c r="H1623" s="11">
        <v>0</v>
      </c>
      <c r="I1623" s="4"/>
      <c r="J1623" s="4"/>
      <c r="K1623" s="11">
        <v>0</v>
      </c>
      <c r="L1623" s="4"/>
      <c r="M1623" s="4"/>
      <c r="N1623" s="11">
        <v>350</v>
      </c>
      <c r="O1623" s="4" t="s">
        <v>56</v>
      </c>
      <c r="P1623" s="4" t="s">
        <v>57</v>
      </c>
      <c r="Q1623" s="11">
        <v>0</v>
      </c>
      <c r="R1623" s="4"/>
      <c r="S1623" s="12"/>
    </row>
    <row r="1624" spans="1:19" x14ac:dyDescent="0.25">
      <c r="A1624" s="9" t="s">
        <v>1117</v>
      </c>
      <c r="B1624" s="9" t="s">
        <v>291</v>
      </c>
      <c r="C1624" s="4">
        <v>201001419</v>
      </c>
      <c r="D1624" s="4" t="s">
        <v>1300</v>
      </c>
      <c r="E1624" s="4" t="str">
        <f>"031682010"</f>
        <v>031682010</v>
      </c>
      <c r="F1624" s="10">
        <v>40199</v>
      </c>
      <c r="G1624" s="11">
        <v>350</v>
      </c>
      <c r="H1624" s="11">
        <v>0</v>
      </c>
      <c r="I1624" s="4"/>
      <c r="J1624" s="4"/>
      <c r="K1624" s="11">
        <v>0</v>
      </c>
      <c r="L1624" s="4"/>
      <c r="M1624" s="4"/>
      <c r="N1624" s="11">
        <v>350</v>
      </c>
      <c r="O1624" s="4" t="s">
        <v>56</v>
      </c>
      <c r="P1624" s="4" t="s">
        <v>57</v>
      </c>
      <c r="Q1624" s="11">
        <v>0</v>
      </c>
      <c r="R1624" s="4"/>
      <c r="S1624" s="12"/>
    </row>
    <row r="1625" spans="1:19" x14ac:dyDescent="0.25">
      <c r="A1625" s="9" t="s">
        <v>1117</v>
      </c>
      <c r="B1625" s="9" t="s">
        <v>291</v>
      </c>
      <c r="C1625" s="4">
        <v>201001421</v>
      </c>
      <c r="D1625" s="4" t="s">
        <v>1301</v>
      </c>
      <c r="E1625" s="4" t="str">
        <f>"032722010"</f>
        <v>032722010</v>
      </c>
      <c r="F1625" s="10">
        <v>40200</v>
      </c>
      <c r="G1625" s="11">
        <v>350</v>
      </c>
      <c r="H1625" s="11">
        <v>0</v>
      </c>
      <c r="I1625" s="4"/>
      <c r="J1625" s="4"/>
      <c r="K1625" s="11">
        <v>0</v>
      </c>
      <c r="L1625" s="4"/>
      <c r="M1625" s="4"/>
      <c r="N1625" s="11">
        <v>350</v>
      </c>
      <c r="O1625" s="4" t="s">
        <v>56</v>
      </c>
      <c r="P1625" s="4" t="s">
        <v>57</v>
      </c>
      <c r="Q1625" s="11">
        <v>0</v>
      </c>
      <c r="R1625" s="4"/>
      <c r="S1625" s="12"/>
    </row>
    <row r="1626" spans="1:19" x14ac:dyDescent="0.25">
      <c r="A1626" s="9" t="s">
        <v>1117</v>
      </c>
      <c r="B1626" s="9" t="s">
        <v>291</v>
      </c>
      <c r="C1626" s="4">
        <v>201001425</v>
      </c>
      <c r="D1626" s="4" t="s">
        <v>1302</v>
      </c>
      <c r="E1626" s="4" t="str">
        <f>"031242010"</f>
        <v>031242010</v>
      </c>
      <c r="F1626" s="10">
        <v>40197</v>
      </c>
      <c r="G1626" s="11">
        <v>350</v>
      </c>
      <c r="H1626" s="11">
        <v>0</v>
      </c>
      <c r="I1626" s="4"/>
      <c r="J1626" s="4"/>
      <c r="K1626" s="11">
        <v>0</v>
      </c>
      <c r="L1626" s="4"/>
      <c r="M1626" s="4"/>
      <c r="N1626" s="11">
        <v>350</v>
      </c>
      <c r="O1626" s="4" t="s">
        <v>56</v>
      </c>
      <c r="P1626" s="4" t="s">
        <v>57</v>
      </c>
      <c r="Q1626" s="11">
        <v>0</v>
      </c>
      <c r="R1626" s="4"/>
      <c r="S1626" s="12"/>
    </row>
    <row r="1627" spans="1:19" x14ac:dyDescent="0.25">
      <c r="A1627" s="9" t="s">
        <v>1117</v>
      </c>
      <c r="B1627" s="9" t="s">
        <v>291</v>
      </c>
      <c r="C1627" s="4">
        <v>201001429</v>
      </c>
      <c r="D1627" s="4" t="s">
        <v>1303</v>
      </c>
      <c r="E1627" s="4" t="str">
        <f>"028142010"</f>
        <v>028142010</v>
      </c>
      <c r="F1627" s="10">
        <v>40186</v>
      </c>
      <c r="G1627" s="11">
        <v>350</v>
      </c>
      <c r="H1627" s="11">
        <v>0</v>
      </c>
      <c r="I1627" s="4"/>
      <c r="J1627" s="4"/>
      <c r="K1627" s="11">
        <v>0</v>
      </c>
      <c r="L1627" s="4"/>
      <c r="M1627" s="4"/>
      <c r="N1627" s="11">
        <v>350</v>
      </c>
      <c r="O1627" s="4" t="s">
        <v>56</v>
      </c>
      <c r="P1627" s="4" t="s">
        <v>57</v>
      </c>
      <c r="Q1627" s="11">
        <v>0</v>
      </c>
      <c r="R1627" s="4"/>
      <c r="S1627" s="12"/>
    </row>
    <row r="1628" spans="1:19" x14ac:dyDescent="0.25">
      <c r="A1628" s="9" t="s">
        <v>1117</v>
      </c>
      <c r="B1628" s="9" t="s">
        <v>291</v>
      </c>
      <c r="C1628" s="4">
        <v>201001433</v>
      </c>
      <c r="D1628" s="4" t="s">
        <v>1304</v>
      </c>
      <c r="E1628" s="4" t="str">
        <f>"027812010"</f>
        <v>027812010</v>
      </c>
      <c r="F1628" s="10">
        <v>40186</v>
      </c>
      <c r="G1628" s="11">
        <v>350</v>
      </c>
      <c r="H1628" s="11">
        <v>0</v>
      </c>
      <c r="I1628" s="4"/>
      <c r="J1628" s="4"/>
      <c r="K1628" s="11">
        <v>0</v>
      </c>
      <c r="L1628" s="4"/>
      <c r="M1628" s="4"/>
      <c r="N1628" s="11">
        <v>350</v>
      </c>
      <c r="O1628" s="4" t="s">
        <v>56</v>
      </c>
      <c r="P1628" s="4" t="s">
        <v>57</v>
      </c>
      <c r="Q1628" s="11">
        <v>0</v>
      </c>
      <c r="R1628" s="4"/>
      <c r="S1628" s="12"/>
    </row>
    <row r="1629" spans="1:19" x14ac:dyDescent="0.25">
      <c r="A1629" s="9" t="s">
        <v>1117</v>
      </c>
      <c r="B1629" s="9" t="s">
        <v>1117</v>
      </c>
      <c r="C1629" s="4">
        <v>201001434</v>
      </c>
      <c r="D1629" s="4" t="s">
        <v>1143</v>
      </c>
      <c r="E1629" s="4" t="str">
        <f>"027732010"</f>
        <v>027732010</v>
      </c>
      <c r="F1629" s="10">
        <v>40186</v>
      </c>
      <c r="G1629" s="11">
        <v>360</v>
      </c>
      <c r="H1629" s="11">
        <v>0</v>
      </c>
      <c r="I1629" s="4"/>
      <c r="J1629" s="4"/>
      <c r="K1629" s="11">
        <v>0</v>
      </c>
      <c r="L1629" s="4"/>
      <c r="M1629" s="4"/>
      <c r="N1629" s="11">
        <v>360</v>
      </c>
      <c r="O1629" s="4" t="s">
        <v>56</v>
      </c>
      <c r="P1629" s="4" t="s">
        <v>57</v>
      </c>
      <c r="Q1629" s="11">
        <v>0</v>
      </c>
      <c r="R1629" s="4"/>
      <c r="S1629" s="12"/>
    </row>
    <row r="1630" spans="1:19" x14ac:dyDescent="0.25">
      <c r="A1630" s="9" t="s">
        <v>1117</v>
      </c>
      <c r="B1630" s="9" t="s">
        <v>291</v>
      </c>
      <c r="C1630" s="4">
        <v>201001436</v>
      </c>
      <c r="D1630" s="4" t="s">
        <v>1305</v>
      </c>
      <c r="E1630" s="4" t="str">
        <f>"027792010"</f>
        <v>027792010</v>
      </c>
      <c r="F1630" s="10">
        <v>40186</v>
      </c>
      <c r="G1630" s="11">
        <v>350</v>
      </c>
      <c r="H1630" s="11">
        <v>0</v>
      </c>
      <c r="I1630" s="4"/>
      <c r="J1630" s="4"/>
      <c r="K1630" s="11">
        <v>0</v>
      </c>
      <c r="L1630" s="4"/>
      <c r="M1630" s="4"/>
      <c r="N1630" s="11">
        <v>350</v>
      </c>
      <c r="O1630" s="4" t="s">
        <v>308</v>
      </c>
      <c r="P1630" s="4" t="s">
        <v>309</v>
      </c>
      <c r="Q1630" s="11">
        <v>0</v>
      </c>
      <c r="R1630" s="4"/>
      <c r="S1630" s="12"/>
    </row>
    <row r="1631" spans="1:19" x14ac:dyDescent="0.25">
      <c r="A1631" s="9" t="s">
        <v>1117</v>
      </c>
      <c r="B1631" s="9" t="s">
        <v>291</v>
      </c>
      <c r="C1631" s="4">
        <v>201001437</v>
      </c>
      <c r="D1631" s="4" t="s">
        <v>1293</v>
      </c>
      <c r="E1631" s="4" t="str">
        <f>"027752010"</f>
        <v>027752010</v>
      </c>
      <c r="F1631" s="10">
        <v>40186</v>
      </c>
      <c r="G1631" s="11">
        <v>350</v>
      </c>
      <c r="H1631" s="11">
        <v>0</v>
      </c>
      <c r="I1631" s="4"/>
      <c r="J1631" s="4"/>
      <c r="K1631" s="11">
        <v>0</v>
      </c>
      <c r="L1631" s="4"/>
      <c r="M1631" s="4"/>
      <c r="N1631" s="11">
        <v>350</v>
      </c>
      <c r="O1631" s="4" t="s">
        <v>308</v>
      </c>
      <c r="P1631" s="4" t="s">
        <v>309</v>
      </c>
      <c r="Q1631" s="11">
        <v>0</v>
      </c>
      <c r="R1631" s="4"/>
      <c r="S1631" s="12"/>
    </row>
    <row r="1632" spans="1:19" x14ac:dyDescent="0.25">
      <c r="A1632" s="9" t="s">
        <v>1117</v>
      </c>
      <c r="B1632" s="9" t="s">
        <v>291</v>
      </c>
      <c r="C1632" s="4">
        <v>201001458</v>
      </c>
      <c r="D1632" s="4" t="s">
        <v>1306</v>
      </c>
      <c r="E1632" s="4" t="str">
        <f>"028362010"</f>
        <v>028362010</v>
      </c>
      <c r="F1632" s="10">
        <v>40186</v>
      </c>
      <c r="G1632" s="11">
        <v>350</v>
      </c>
      <c r="H1632" s="11">
        <v>0</v>
      </c>
      <c r="I1632" s="4"/>
      <c r="J1632" s="4"/>
      <c r="K1632" s="11">
        <v>0</v>
      </c>
      <c r="L1632" s="4"/>
      <c r="M1632" s="4"/>
      <c r="N1632" s="11">
        <v>350</v>
      </c>
      <c r="O1632" s="4" t="s">
        <v>56</v>
      </c>
      <c r="P1632" s="4" t="s">
        <v>57</v>
      </c>
      <c r="Q1632" s="11">
        <v>0</v>
      </c>
      <c r="R1632" s="4"/>
      <c r="S1632" s="12"/>
    </row>
    <row r="1633" spans="1:19" x14ac:dyDescent="0.25">
      <c r="A1633" s="9" t="s">
        <v>1117</v>
      </c>
      <c r="B1633" s="9" t="s">
        <v>291</v>
      </c>
      <c r="C1633" s="4">
        <v>201001459</v>
      </c>
      <c r="D1633" s="4" t="s">
        <v>1134</v>
      </c>
      <c r="E1633" s="4" t="str">
        <f>"028282010"</f>
        <v>028282010</v>
      </c>
      <c r="F1633" s="10">
        <v>40186</v>
      </c>
      <c r="G1633" s="11">
        <v>350</v>
      </c>
      <c r="H1633" s="11">
        <v>0</v>
      </c>
      <c r="I1633" s="4"/>
      <c r="J1633" s="4"/>
      <c r="K1633" s="11">
        <v>0</v>
      </c>
      <c r="L1633" s="4"/>
      <c r="M1633" s="4"/>
      <c r="N1633" s="11">
        <v>350</v>
      </c>
      <c r="O1633" s="4" t="s">
        <v>56</v>
      </c>
      <c r="P1633" s="4" t="s">
        <v>57</v>
      </c>
      <c r="Q1633" s="11">
        <v>0</v>
      </c>
      <c r="R1633" s="4"/>
      <c r="S1633" s="12"/>
    </row>
    <row r="1634" spans="1:19" x14ac:dyDescent="0.25">
      <c r="A1634" s="9" t="s">
        <v>1117</v>
      </c>
      <c r="B1634" s="9" t="s">
        <v>291</v>
      </c>
      <c r="C1634" s="4">
        <v>201001461</v>
      </c>
      <c r="D1634" s="4" t="s">
        <v>1150</v>
      </c>
      <c r="E1634" s="4" t="str">
        <f>"028422010"</f>
        <v>028422010</v>
      </c>
      <c r="F1634" s="10">
        <v>40186</v>
      </c>
      <c r="G1634" s="11">
        <v>350</v>
      </c>
      <c r="H1634" s="11">
        <v>0</v>
      </c>
      <c r="I1634" s="4"/>
      <c r="J1634" s="4"/>
      <c r="K1634" s="11">
        <v>0</v>
      </c>
      <c r="L1634" s="4"/>
      <c r="M1634" s="4"/>
      <c r="N1634" s="11">
        <v>350</v>
      </c>
      <c r="O1634" s="4" t="s">
        <v>308</v>
      </c>
      <c r="P1634" s="4" t="s">
        <v>309</v>
      </c>
      <c r="Q1634" s="11">
        <v>0</v>
      </c>
      <c r="R1634" s="4"/>
      <c r="S1634" s="12"/>
    </row>
    <row r="1635" spans="1:19" x14ac:dyDescent="0.25">
      <c r="A1635" s="9" t="s">
        <v>1117</v>
      </c>
      <c r="B1635" s="9" t="s">
        <v>291</v>
      </c>
      <c r="C1635" s="4">
        <v>201001463</v>
      </c>
      <c r="D1635" s="4" t="s">
        <v>1307</v>
      </c>
      <c r="E1635" s="4" t="str">
        <f>"028522010"</f>
        <v>028522010</v>
      </c>
      <c r="F1635" s="10">
        <v>40186</v>
      </c>
      <c r="G1635" s="11">
        <v>374.07</v>
      </c>
      <c r="H1635" s="11">
        <v>0</v>
      </c>
      <c r="I1635" s="4"/>
      <c r="J1635" s="4"/>
      <c r="K1635" s="11">
        <v>0</v>
      </c>
      <c r="L1635" s="4"/>
      <c r="M1635" s="4"/>
      <c r="N1635" s="11">
        <v>374.07</v>
      </c>
      <c r="O1635" s="4" t="s">
        <v>56</v>
      </c>
      <c r="P1635" s="4" t="s">
        <v>57</v>
      </c>
      <c r="Q1635" s="11">
        <v>0</v>
      </c>
      <c r="R1635" s="4"/>
      <c r="S1635" s="12"/>
    </row>
    <row r="1636" spans="1:19" x14ac:dyDescent="0.25">
      <c r="A1636" s="9" t="s">
        <v>1117</v>
      </c>
      <c r="B1636" s="9" t="s">
        <v>291</v>
      </c>
      <c r="C1636" s="4">
        <v>201001464</v>
      </c>
      <c r="D1636" s="4" t="s">
        <v>1290</v>
      </c>
      <c r="E1636" s="4" t="str">
        <f>"028502010"</f>
        <v>028502010</v>
      </c>
      <c r="F1636" s="10">
        <v>40186</v>
      </c>
      <c r="G1636" s="11">
        <v>350</v>
      </c>
      <c r="H1636" s="11">
        <v>0</v>
      </c>
      <c r="I1636" s="4"/>
      <c r="J1636" s="4"/>
      <c r="K1636" s="11">
        <v>0</v>
      </c>
      <c r="L1636" s="4"/>
      <c r="M1636" s="4"/>
      <c r="N1636" s="11">
        <v>350</v>
      </c>
      <c r="O1636" s="4" t="s">
        <v>56</v>
      </c>
      <c r="P1636" s="4" t="s">
        <v>57</v>
      </c>
      <c r="Q1636" s="11">
        <v>0</v>
      </c>
      <c r="R1636" s="4"/>
      <c r="S1636" s="12"/>
    </row>
    <row r="1637" spans="1:19" x14ac:dyDescent="0.25">
      <c r="A1637" s="9" t="s">
        <v>1117</v>
      </c>
      <c r="B1637" s="9" t="s">
        <v>291</v>
      </c>
      <c r="C1637" s="4">
        <v>201001467</v>
      </c>
      <c r="D1637" s="4" t="s">
        <v>1308</v>
      </c>
      <c r="E1637" s="4" t="str">
        <f>"028482010"</f>
        <v>028482010</v>
      </c>
      <c r="F1637" s="10">
        <v>40186</v>
      </c>
      <c r="G1637" s="11">
        <v>350</v>
      </c>
      <c r="H1637" s="11">
        <v>0</v>
      </c>
      <c r="I1637" s="4"/>
      <c r="J1637" s="4"/>
      <c r="K1637" s="11">
        <v>0</v>
      </c>
      <c r="L1637" s="4"/>
      <c r="M1637" s="4"/>
      <c r="N1637" s="11">
        <v>350</v>
      </c>
      <c r="O1637" s="4" t="s">
        <v>308</v>
      </c>
      <c r="P1637" s="4" t="s">
        <v>309</v>
      </c>
      <c r="Q1637" s="11">
        <v>0</v>
      </c>
      <c r="R1637" s="4"/>
      <c r="S1637" s="12"/>
    </row>
    <row r="1638" spans="1:19" x14ac:dyDescent="0.25">
      <c r="A1638" s="9" t="s">
        <v>1117</v>
      </c>
      <c r="B1638" s="9" t="s">
        <v>291</v>
      </c>
      <c r="C1638" s="4">
        <v>201001477</v>
      </c>
      <c r="D1638" s="4" t="s">
        <v>1309</v>
      </c>
      <c r="E1638" s="4" t="str">
        <f>"030472010"</f>
        <v>030472010</v>
      </c>
      <c r="F1638" s="10">
        <v>40192</v>
      </c>
      <c r="G1638" s="11">
        <v>350</v>
      </c>
      <c r="H1638" s="11">
        <v>0</v>
      </c>
      <c r="I1638" s="4"/>
      <c r="J1638" s="4"/>
      <c r="K1638" s="11">
        <v>0</v>
      </c>
      <c r="L1638" s="4"/>
      <c r="M1638" s="4"/>
      <c r="N1638" s="11">
        <v>350</v>
      </c>
      <c r="O1638" s="4" t="s">
        <v>56</v>
      </c>
      <c r="P1638" s="4" t="s">
        <v>57</v>
      </c>
      <c r="Q1638" s="11">
        <v>0</v>
      </c>
      <c r="R1638" s="4"/>
      <c r="S1638" s="12"/>
    </row>
    <row r="1639" spans="1:19" x14ac:dyDescent="0.25">
      <c r="A1639" s="9" t="s">
        <v>1117</v>
      </c>
      <c r="B1639" s="9" t="s">
        <v>291</v>
      </c>
      <c r="C1639" s="4">
        <v>201001478</v>
      </c>
      <c r="D1639" s="4" t="s">
        <v>1310</v>
      </c>
      <c r="E1639" s="4" t="str">
        <f>"030432010"</f>
        <v>030432010</v>
      </c>
      <c r="F1639" s="10">
        <v>40192</v>
      </c>
      <c r="G1639" s="11">
        <v>350</v>
      </c>
      <c r="H1639" s="11">
        <v>0</v>
      </c>
      <c r="I1639" s="4"/>
      <c r="J1639" s="4"/>
      <c r="K1639" s="11">
        <v>0</v>
      </c>
      <c r="L1639" s="4"/>
      <c r="M1639" s="4"/>
      <c r="N1639" s="11">
        <v>350</v>
      </c>
      <c r="O1639" s="4" t="s">
        <v>56</v>
      </c>
      <c r="P1639" s="4" t="s">
        <v>57</v>
      </c>
      <c r="Q1639" s="11">
        <v>0</v>
      </c>
      <c r="R1639" s="4"/>
      <c r="S1639" s="12"/>
    </row>
    <row r="1640" spans="1:19" x14ac:dyDescent="0.25">
      <c r="A1640" s="9" t="s">
        <v>1117</v>
      </c>
      <c r="B1640" s="9" t="s">
        <v>291</v>
      </c>
      <c r="C1640" s="4">
        <v>201001484</v>
      </c>
      <c r="D1640" s="4" t="s">
        <v>1311</v>
      </c>
      <c r="E1640" s="4" t="str">
        <f>"028882010"</f>
        <v>028882010</v>
      </c>
      <c r="F1640" s="10">
        <v>40190</v>
      </c>
      <c r="G1640" s="11">
        <v>350</v>
      </c>
      <c r="H1640" s="11">
        <v>0</v>
      </c>
      <c r="I1640" s="4"/>
      <c r="J1640" s="4"/>
      <c r="K1640" s="11">
        <v>0</v>
      </c>
      <c r="L1640" s="4"/>
      <c r="M1640" s="4"/>
      <c r="N1640" s="11">
        <v>350</v>
      </c>
      <c r="O1640" s="4" t="s">
        <v>308</v>
      </c>
      <c r="P1640" s="4" t="s">
        <v>309</v>
      </c>
      <c r="Q1640" s="11">
        <v>0</v>
      </c>
      <c r="R1640" s="4"/>
      <c r="S1640" s="12"/>
    </row>
    <row r="1641" spans="1:19" x14ac:dyDescent="0.25">
      <c r="A1641" s="9" t="s">
        <v>1117</v>
      </c>
      <c r="B1641" s="9" t="s">
        <v>291</v>
      </c>
      <c r="C1641" s="4">
        <v>201001485</v>
      </c>
      <c r="D1641" s="4" t="s">
        <v>1312</v>
      </c>
      <c r="E1641" s="4" t="str">
        <f>"028722010"</f>
        <v>028722010</v>
      </c>
      <c r="F1641" s="10">
        <v>40186</v>
      </c>
      <c r="G1641" s="11">
        <v>350</v>
      </c>
      <c r="H1641" s="11">
        <v>0</v>
      </c>
      <c r="I1641" s="4"/>
      <c r="J1641" s="4"/>
      <c r="K1641" s="11">
        <v>0</v>
      </c>
      <c r="L1641" s="4"/>
      <c r="M1641" s="4"/>
      <c r="N1641" s="11">
        <v>350</v>
      </c>
      <c r="O1641" s="4" t="s">
        <v>56</v>
      </c>
      <c r="P1641" s="4" t="s">
        <v>57</v>
      </c>
      <c r="Q1641" s="11">
        <v>0</v>
      </c>
      <c r="R1641" s="4"/>
      <c r="S1641" s="12"/>
    </row>
    <row r="1642" spans="1:19" x14ac:dyDescent="0.25">
      <c r="A1642" s="9" t="s">
        <v>1117</v>
      </c>
      <c r="B1642" s="9" t="s">
        <v>291</v>
      </c>
      <c r="C1642" s="4">
        <v>201001488</v>
      </c>
      <c r="D1642" s="4" t="s">
        <v>1293</v>
      </c>
      <c r="E1642" s="4" t="str">
        <f>"028702010"</f>
        <v>028702010</v>
      </c>
      <c r="F1642" s="10">
        <v>40186</v>
      </c>
      <c r="G1642" s="11">
        <v>350</v>
      </c>
      <c r="H1642" s="11">
        <v>0</v>
      </c>
      <c r="I1642" s="4"/>
      <c r="J1642" s="4"/>
      <c r="K1642" s="11">
        <v>0</v>
      </c>
      <c r="L1642" s="4"/>
      <c r="M1642" s="4"/>
      <c r="N1642" s="11">
        <v>350</v>
      </c>
      <c r="O1642" s="4" t="s">
        <v>56</v>
      </c>
      <c r="P1642" s="4" t="s">
        <v>57</v>
      </c>
      <c r="Q1642" s="11">
        <v>0</v>
      </c>
      <c r="R1642" s="4"/>
      <c r="S1642" s="12"/>
    </row>
    <row r="1643" spans="1:19" x14ac:dyDescent="0.25">
      <c r="A1643" s="9" t="s">
        <v>1117</v>
      </c>
      <c r="B1643" s="9" t="s">
        <v>291</v>
      </c>
      <c r="C1643" s="4">
        <v>201001491</v>
      </c>
      <c r="D1643" s="4" t="s">
        <v>1313</v>
      </c>
      <c r="E1643" s="4" t="str">
        <f>"033402010"</f>
        <v>033402010</v>
      </c>
      <c r="F1643" s="10">
        <v>40203</v>
      </c>
      <c r="G1643" s="11">
        <v>350</v>
      </c>
      <c r="H1643" s="11">
        <v>0</v>
      </c>
      <c r="I1643" s="4"/>
      <c r="J1643" s="4"/>
      <c r="K1643" s="11">
        <v>0</v>
      </c>
      <c r="L1643" s="4"/>
      <c r="M1643" s="4"/>
      <c r="N1643" s="11">
        <v>350</v>
      </c>
      <c r="O1643" s="4" t="s">
        <v>56</v>
      </c>
      <c r="P1643" s="4" t="s">
        <v>57</v>
      </c>
      <c r="Q1643" s="11">
        <v>0</v>
      </c>
      <c r="R1643" s="4"/>
      <c r="S1643" s="12"/>
    </row>
    <row r="1644" spans="1:19" x14ac:dyDescent="0.25">
      <c r="A1644" s="9" t="s">
        <v>1117</v>
      </c>
      <c r="B1644" s="9" t="s">
        <v>291</v>
      </c>
      <c r="C1644" s="4">
        <v>201001495</v>
      </c>
      <c r="D1644" s="4" t="s">
        <v>1314</v>
      </c>
      <c r="E1644" s="4" t="str">
        <f>"029042010"</f>
        <v>029042010</v>
      </c>
      <c r="F1644" s="10">
        <v>40190</v>
      </c>
      <c r="G1644" s="11">
        <v>350</v>
      </c>
      <c r="H1644" s="11">
        <v>0</v>
      </c>
      <c r="I1644" s="4"/>
      <c r="J1644" s="4"/>
      <c r="K1644" s="11">
        <v>0</v>
      </c>
      <c r="L1644" s="4"/>
      <c r="M1644" s="4"/>
      <c r="N1644" s="11">
        <v>350</v>
      </c>
      <c r="O1644" s="4" t="s">
        <v>56</v>
      </c>
      <c r="P1644" s="4" t="s">
        <v>57</v>
      </c>
      <c r="Q1644" s="11">
        <v>0</v>
      </c>
      <c r="R1644" s="4"/>
      <c r="S1644" s="12"/>
    </row>
    <row r="1645" spans="1:19" x14ac:dyDescent="0.25">
      <c r="A1645" s="9" t="s">
        <v>1117</v>
      </c>
      <c r="B1645" s="9" t="s">
        <v>291</v>
      </c>
      <c r="C1645" s="4">
        <v>201001497</v>
      </c>
      <c r="D1645" s="4" t="s">
        <v>1314</v>
      </c>
      <c r="E1645" s="4" t="str">
        <f>"028982010"</f>
        <v>028982010</v>
      </c>
      <c r="F1645" s="10">
        <v>40190</v>
      </c>
      <c r="G1645" s="11">
        <v>805</v>
      </c>
      <c r="H1645" s="11">
        <v>0</v>
      </c>
      <c r="I1645" s="4"/>
      <c r="J1645" s="4"/>
      <c r="K1645" s="11">
        <v>0</v>
      </c>
      <c r="L1645" s="4"/>
      <c r="M1645" s="4"/>
      <c r="N1645" s="11">
        <v>805</v>
      </c>
      <c r="O1645" s="4" t="s">
        <v>56</v>
      </c>
      <c r="P1645" s="4" t="s">
        <v>57</v>
      </c>
      <c r="Q1645" s="11">
        <v>0</v>
      </c>
      <c r="R1645" s="4"/>
      <c r="S1645" s="12"/>
    </row>
    <row r="1646" spans="1:19" x14ac:dyDescent="0.25">
      <c r="A1646" s="9" t="s">
        <v>1117</v>
      </c>
      <c r="B1646" s="9" t="s">
        <v>291</v>
      </c>
      <c r="C1646" s="4">
        <v>201001498</v>
      </c>
      <c r="D1646" s="4" t="s">
        <v>1315</v>
      </c>
      <c r="E1646" s="4" t="str">
        <f>"029222010"</f>
        <v>029222010</v>
      </c>
      <c r="F1646" s="10">
        <v>40192</v>
      </c>
      <c r="G1646" s="11">
        <v>350</v>
      </c>
      <c r="H1646" s="11">
        <v>0</v>
      </c>
      <c r="I1646" s="4"/>
      <c r="J1646" s="4"/>
      <c r="K1646" s="11">
        <v>0</v>
      </c>
      <c r="L1646" s="4"/>
      <c r="M1646" s="4"/>
      <c r="N1646" s="11">
        <v>350</v>
      </c>
      <c r="O1646" s="4" t="s">
        <v>56</v>
      </c>
      <c r="P1646" s="4" t="s">
        <v>57</v>
      </c>
      <c r="Q1646" s="11">
        <v>0</v>
      </c>
      <c r="R1646" s="4"/>
      <c r="S1646" s="12"/>
    </row>
    <row r="1647" spans="1:19" x14ac:dyDescent="0.25">
      <c r="A1647" s="9" t="s">
        <v>1117</v>
      </c>
      <c r="B1647" s="9" t="s">
        <v>291</v>
      </c>
      <c r="C1647" s="4">
        <v>201001499</v>
      </c>
      <c r="D1647" s="4" t="s">
        <v>1143</v>
      </c>
      <c r="E1647" s="4" t="str">
        <f>"028802010"</f>
        <v>028802010</v>
      </c>
      <c r="F1647" s="10">
        <v>40190</v>
      </c>
      <c r="G1647" s="11">
        <v>20</v>
      </c>
      <c r="H1647" s="11">
        <v>0</v>
      </c>
      <c r="I1647" s="4"/>
      <c r="J1647" s="4"/>
      <c r="K1647" s="11">
        <v>0</v>
      </c>
      <c r="L1647" s="4"/>
      <c r="M1647" s="4"/>
      <c r="N1647" s="11">
        <v>20</v>
      </c>
      <c r="O1647" s="4" t="s">
        <v>56</v>
      </c>
      <c r="P1647" s="4" t="s">
        <v>57</v>
      </c>
      <c r="Q1647" s="11">
        <v>0</v>
      </c>
      <c r="R1647" s="4"/>
      <c r="S1647" s="12"/>
    </row>
    <row r="1648" spans="1:19" x14ac:dyDescent="0.25">
      <c r="A1648" s="9" t="s">
        <v>1117</v>
      </c>
      <c r="B1648" s="9" t="s">
        <v>291</v>
      </c>
      <c r="C1648" s="4">
        <v>201001501</v>
      </c>
      <c r="D1648" s="4" t="s">
        <v>1315</v>
      </c>
      <c r="E1648" s="4" t="str">
        <f>"028782010"</f>
        <v>028782010</v>
      </c>
      <c r="F1648" s="10">
        <v>40190</v>
      </c>
      <c r="G1648" s="11">
        <v>350</v>
      </c>
      <c r="H1648" s="11">
        <v>0</v>
      </c>
      <c r="I1648" s="4"/>
      <c r="J1648" s="4"/>
      <c r="K1648" s="11">
        <v>0</v>
      </c>
      <c r="L1648" s="4"/>
      <c r="M1648" s="4"/>
      <c r="N1648" s="11">
        <v>350</v>
      </c>
      <c r="O1648" s="4" t="s">
        <v>56</v>
      </c>
      <c r="P1648" s="4" t="s">
        <v>57</v>
      </c>
      <c r="Q1648" s="11">
        <v>0</v>
      </c>
      <c r="R1648" s="4"/>
      <c r="S1648" s="12"/>
    </row>
    <row r="1649" spans="1:19" x14ac:dyDescent="0.25">
      <c r="A1649" s="9" t="s">
        <v>1117</v>
      </c>
      <c r="B1649" s="9" t="s">
        <v>291</v>
      </c>
      <c r="C1649" s="4">
        <v>201001502</v>
      </c>
      <c r="D1649" s="4" t="s">
        <v>1315</v>
      </c>
      <c r="E1649" s="4" t="str">
        <f>"028762010"</f>
        <v>028762010</v>
      </c>
      <c r="F1649" s="10">
        <v>40190</v>
      </c>
      <c r="G1649" s="11">
        <v>805</v>
      </c>
      <c r="H1649" s="11">
        <v>0</v>
      </c>
      <c r="I1649" s="4"/>
      <c r="J1649" s="4"/>
      <c r="K1649" s="11">
        <v>0</v>
      </c>
      <c r="L1649" s="4"/>
      <c r="M1649" s="4"/>
      <c r="N1649" s="11">
        <v>805</v>
      </c>
      <c r="O1649" s="4" t="s">
        <v>56</v>
      </c>
      <c r="P1649" s="4" t="s">
        <v>57</v>
      </c>
      <c r="Q1649" s="11">
        <v>0</v>
      </c>
      <c r="R1649" s="4"/>
      <c r="S1649" s="12"/>
    </row>
    <row r="1650" spans="1:19" x14ac:dyDescent="0.25">
      <c r="A1650" s="9" t="s">
        <v>1117</v>
      </c>
      <c r="B1650" s="9" t="s">
        <v>291</v>
      </c>
      <c r="C1650" s="4">
        <v>201001503</v>
      </c>
      <c r="D1650" s="4" t="s">
        <v>1315</v>
      </c>
      <c r="E1650" s="4" t="str">
        <f>"029202010"</f>
        <v>029202010</v>
      </c>
      <c r="F1650" s="10">
        <v>40192</v>
      </c>
      <c r="G1650" s="11">
        <v>350</v>
      </c>
      <c r="H1650" s="11">
        <v>0</v>
      </c>
      <c r="I1650" s="4"/>
      <c r="J1650" s="4"/>
      <c r="K1650" s="11">
        <v>0</v>
      </c>
      <c r="L1650" s="4"/>
      <c r="M1650" s="4"/>
      <c r="N1650" s="11">
        <v>350</v>
      </c>
      <c r="O1650" s="4" t="s">
        <v>56</v>
      </c>
      <c r="P1650" s="4" t="s">
        <v>57</v>
      </c>
      <c r="Q1650" s="11">
        <v>0</v>
      </c>
      <c r="R1650" s="4"/>
      <c r="S1650" s="12"/>
    </row>
    <row r="1651" spans="1:19" x14ac:dyDescent="0.25">
      <c r="A1651" s="9" t="s">
        <v>1117</v>
      </c>
      <c r="B1651" s="9" t="s">
        <v>291</v>
      </c>
      <c r="C1651" s="4">
        <v>201001505</v>
      </c>
      <c r="D1651" s="4" t="s">
        <v>1315</v>
      </c>
      <c r="E1651" s="4" t="str">
        <f>"028962010"</f>
        <v>028962010</v>
      </c>
      <c r="F1651" s="10">
        <v>40190</v>
      </c>
      <c r="G1651" s="11">
        <v>350</v>
      </c>
      <c r="H1651" s="11">
        <v>0</v>
      </c>
      <c r="I1651" s="4"/>
      <c r="J1651" s="4"/>
      <c r="K1651" s="11">
        <v>0</v>
      </c>
      <c r="L1651" s="4"/>
      <c r="M1651" s="4"/>
      <c r="N1651" s="11">
        <v>350</v>
      </c>
      <c r="O1651" s="4" t="s">
        <v>56</v>
      </c>
      <c r="P1651" s="4" t="s">
        <v>57</v>
      </c>
      <c r="Q1651" s="11">
        <v>0</v>
      </c>
      <c r="R1651" s="4"/>
      <c r="S1651" s="12"/>
    </row>
    <row r="1652" spans="1:19" x14ac:dyDescent="0.25">
      <c r="A1652" s="9" t="s">
        <v>1117</v>
      </c>
      <c r="B1652" s="9" t="s">
        <v>291</v>
      </c>
      <c r="C1652" s="4">
        <v>201001510</v>
      </c>
      <c r="D1652" s="4" t="s">
        <v>1170</v>
      </c>
      <c r="E1652" s="4" t="str">
        <f>"028922010"</f>
        <v>028922010</v>
      </c>
      <c r="F1652" s="10">
        <v>40190</v>
      </c>
      <c r="G1652" s="11">
        <v>7</v>
      </c>
      <c r="H1652" s="11">
        <v>0</v>
      </c>
      <c r="I1652" s="4"/>
      <c r="J1652" s="4"/>
      <c r="K1652" s="11">
        <v>0</v>
      </c>
      <c r="L1652" s="4"/>
      <c r="M1652" s="4"/>
      <c r="N1652" s="11">
        <v>7</v>
      </c>
      <c r="O1652" s="4" t="s">
        <v>56</v>
      </c>
      <c r="P1652" s="4" t="s">
        <v>57</v>
      </c>
      <c r="Q1652" s="11">
        <v>0</v>
      </c>
      <c r="R1652" s="4"/>
      <c r="S1652" s="12"/>
    </row>
    <row r="1653" spans="1:19" x14ac:dyDescent="0.25">
      <c r="A1653" s="9" t="s">
        <v>1117</v>
      </c>
      <c r="B1653" s="9" t="s">
        <v>291</v>
      </c>
      <c r="C1653" s="4">
        <v>201001511</v>
      </c>
      <c r="D1653" s="4" t="s">
        <v>1315</v>
      </c>
      <c r="E1653" s="4" t="str">
        <f>"029002010"</f>
        <v>029002010</v>
      </c>
      <c r="F1653" s="10">
        <v>40190</v>
      </c>
      <c r="G1653" s="11">
        <v>350</v>
      </c>
      <c r="H1653" s="11">
        <v>0</v>
      </c>
      <c r="I1653" s="4"/>
      <c r="J1653" s="4"/>
      <c r="K1653" s="11">
        <v>0</v>
      </c>
      <c r="L1653" s="4"/>
      <c r="M1653" s="4"/>
      <c r="N1653" s="11">
        <v>350</v>
      </c>
      <c r="O1653" s="4" t="s">
        <v>56</v>
      </c>
      <c r="P1653" s="4" t="s">
        <v>57</v>
      </c>
      <c r="Q1653" s="11">
        <v>0</v>
      </c>
      <c r="R1653" s="4"/>
      <c r="S1653" s="12"/>
    </row>
    <row r="1654" spans="1:19" x14ac:dyDescent="0.25">
      <c r="A1654" s="9" t="s">
        <v>1117</v>
      </c>
      <c r="B1654" s="9" t="s">
        <v>1117</v>
      </c>
      <c r="C1654" s="4">
        <v>201001517</v>
      </c>
      <c r="D1654" s="4" t="s">
        <v>1316</v>
      </c>
      <c r="E1654" s="4" t="str">
        <f>"046952010"</f>
        <v>046952010</v>
      </c>
      <c r="F1654" s="10">
        <v>40252</v>
      </c>
      <c r="G1654" s="11">
        <v>363.93</v>
      </c>
      <c r="H1654" s="11">
        <v>0</v>
      </c>
      <c r="I1654" s="4"/>
      <c r="J1654" s="4"/>
      <c r="K1654" s="11">
        <v>0</v>
      </c>
      <c r="L1654" s="4"/>
      <c r="M1654" s="4"/>
      <c r="N1654" s="11">
        <v>363.93</v>
      </c>
      <c r="O1654" s="4" t="s">
        <v>56</v>
      </c>
      <c r="P1654" s="4" t="s">
        <v>57</v>
      </c>
      <c r="Q1654" s="11">
        <v>0</v>
      </c>
      <c r="R1654" s="4"/>
      <c r="S1654" s="12"/>
    </row>
    <row r="1655" spans="1:19" x14ac:dyDescent="0.25">
      <c r="A1655" s="9" t="s">
        <v>1117</v>
      </c>
      <c r="B1655" s="9" t="s">
        <v>291</v>
      </c>
      <c r="C1655" s="4">
        <v>201001518</v>
      </c>
      <c r="D1655" s="4" t="s">
        <v>1315</v>
      </c>
      <c r="E1655" s="4" t="str">
        <f>"029122010"</f>
        <v>029122010</v>
      </c>
      <c r="F1655" s="10">
        <v>40192</v>
      </c>
      <c r="G1655" s="11">
        <v>350</v>
      </c>
      <c r="H1655" s="11">
        <v>0</v>
      </c>
      <c r="I1655" s="4"/>
      <c r="J1655" s="4"/>
      <c r="K1655" s="11">
        <v>0</v>
      </c>
      <c r="L1655" s="4"/>
      <c r="M1655" s="4"/>
      <c r="N1655" s="11">
        <v>350</v>
      </c>
      <c r="O1655" s="4" t="s">
        <v>56</v>
      </c>
      <c r="P1655" s="4" t="s">
        <v>57</v>
      </c>
      <c r="Q1655" s="11">
        <v>0</v>
      </c>
      <c r="R1655" s="4"/>
      <c r="S1655" s="12"/>
    </row>
    <row r="1656" spans="1:19" x14ac:dyDescent="0.25">
      <c r="A1656" s="9" t="s">
        <v>1117</v>
      </c>
      <c r="B1656" s="9" t="s">
        <v>291</v>
      </c>
      <c r="C1656" s="4">
        <v>201001519</v>
      </c>
      <c r="D1656" s="4" t="s">
        <v>1315</v>
      </c>
      <c r="E1656" s="4" t="str">
        <f>"029102010"</f>
        <v>029102010</v>
      </c>
      <c r="F1656" s="10">
        <v>40192</v>
      </c>
      <c r="G1656" s="11">
        <v>350</v>
      </c>
      <c r="H1656" s="11">
        <v>0</v>
      </c>
      <c r="I1656" s="4"/>
      <c r="J1656" s="4"/>
      <c r="K1656" s="11">
        <v>0</v>
      </c>
      <c r="L1656" s="4"/>
      <c r="M1656" s="4"/>
      <c r="N1656" s="11">
        <v>350</v>
      </c>
      <c r="O1656" s="4" t="s">
        <v>56</v>
      </c>
      <c r="P1656" s="4" t="s">
        <v>57</v>
      </c>
      <c r="Q1656" s="11">
        <v>0</v>
      </c>
      <c r="R1656" s="4"/>
      <c r="S1656" s="12"/>
    </row>
    <row r="1657" spans="1:19" x14ac:dyDescent="0.25">
      <c r="A1657" s="9" t="s">
        <v>1117</v>
      </c>
      <c r="B1657" s="9" t="s">
        <v>291</v>
      </c>
      <c r="C1657" s="4">
        <v>201001520</v>
      </c>
      <c r="D1657" s="4" t="s">
        <v>1317</v>
      </c>
      <c r="E1657" s="4" t="str">
        <f>"029082010"</f>
        <v>029082010</v>
      </c>
      <c r="F1657" s="10">
        <v>40192</v>
      </c>
      <c r="G1657" s="11">
        <v>16.5</v>
      </c>
      <c r="H1657" s="11">
        <v>0</v>
      </c>
      <c r="I1657" s="4"/>
      <c r="J1657" s="4"/>
      <c r="K1657" s="11">
        <v>0</v>
      </c>
      <c r="L1657" s="4"/>
      <c r="M1657" s="4"/>
      <c r="N1657" s="11">
        <v>16.5</v>
      </c>
      <c r="O1657" s="4" t="s">
        <v>56</v>
      </c>
      <c r="P1657" s="4" t="s">
        <v>57</v>
      </c>
      <c r="Q1657" s="11">
        <v>0</v>
      </c>
      <c r="R1657" s="4"/>
      <c r="S1657" s="12"/>
    </row>
    <row r="1658" spans="1:19" x14ac:dyDescent="0.25">
      <c r="A1658" s="9" t="s">
        <v>1117</v>
      </c>
      <c r="B1658" s="9" t="s">
        <v>291</v>
      </c>
      <c r="C1658" s="4">
        <v>201001522</v>
      </c>
      <c r="D1658" s="4" t="s">
        <v>1314</v>
      </c>
      <c r="E1658" s="4" t="str">
        <f>"029592010"</f>
        <v>029592010</v>
      </c>
      <c r="F1658" s="10">
        <v>40192</v>
      </c>
      <c r="G1658" s="11">
        <v>350</v>
      </c>
      <c r="H1658" s="11">
        <v>0</v>
      </c>
      <c r="I1658" s="4"/>
      <c r="J1658" s="4"/>
      <c r="K1658" s="11">
        <v>0</v>
      </c>
      <c r="L1658" s="4"/>
      <c r="M1658" s="4"/>
      <c r="N1658" s="11">
        <v>350</v>
      </c>
      <c r="O1658" s="4" t="s">
        <v>56</v>
      </c>
      <c r="P1658" s="4" t="s">
        <v>57</v>
      </c>
      <c r="Q1658" s="11">
        <v>0</v>
      </c>
      <c r="R1658" s="4"/>
      <c r="S1658" s="12"/>
    </row>
    <row r="1659" spans="1:19" x14ac:dyDescent="0.25">
      <c r="A1659" s="9" t="s">
        <v>1117</v>
      </c>
      <c r="B1659" s="9" t="s">
        <v>291</v>
      </c>
      <c r="C1659" s="4">
        <v>201001523</v>
      </c>
      <c r="D1659" s="4" t="s">
        <v>1317</v>
      </c>
      <c r="E1659" s="4" t="str">
        <f>"029442010"</f>
        <v>029442010</v>
      </c>
      <c r="F1659" s="10">
        <v>40192</v>
      </c>
      <c r="G1659" s="11">
        <v>10.9</v>
      </c>
      <c r="H1659" s="11">
        <v>0</v>
      </c>
      <c r="I1659" s="4"/>
      <c r="J1659" s="4"/>
      <c r="K1659" s="11">
        <v>0</v>
      </c>
      <c r="L1659" s="4"/>
      <c r="M1659" s="4"/>
      <c r="N1659" s="11">
        <v>10.9</v>
      </c>
      <c r="O1659" s="4" t="s">
        <v>56</v>
      </c>
      <c r="P1659" s="4" t="s">
        <v>57</v>
      </c>
      <c r="Q1659" s="11">
        <v>0</v>
      </c>
      <c r="R1659" s="4"/>
      <c r="S1659" s="12"/>
    </row>
    <row r="1660" spans="1:19" x14ac:dyDescent="0.25">
      <c r="A1660" s="9" t="s">
        <v>1117</v>
      </c>
      <c r="B1660" s="9" t="s">
        <v>291</v>
      </c>
      <c r="C1660" s="4">
        <v>201001524</v>
      </c>
      <c r="D1660" s="4" t="s">
        <v>1317</v>
      </c>
      <c r="E1660" s="4" t="str">
        <f>"029422010"</f>
        <v>029422010</v>
      </c>
      <c r="F1660" s="10">
        <v>40192</v>
      </c>
      <c r="G1660" s="11">
        <v>9</v>
      </c>
      <c r="H1660" s="11">
        <v>0</v>
      </c>
      <c r="I1660" s="4"/>
      <c r="J1660" s="4"/>
      <c r="K1660" s="11">
        <v>0</v>
      </c>
      <c r="L1660" s="4"/>
      <c r="M1660" s="4"/>
      <c r="N1660" s="11">
        <v>9</v>
      </c>
      <c r="O1660" s="4" t="s">
        <v>56</v>
      </c>
      <c r="P1660" s="4" t="s">
        <v>57</v>
      </c>
      <c r="Q1660" s="11">
        <v>0</v>
      </c>
      <c r="R1660" s="4"/>
      <c r="S1660" s="12"/>
    </row>
    <row r="1661" spans="1:19" x14ac:dyDescent="0.25">
      <c r="A1661" s="9" t="s">
        <v>1117</v>
      </c>
      <c r="B1661" s="9" t="s">
        <v>291</v>
      </c>
      <c r="C1661" s="4">
        <v>201001526</v>
      </c>
      <c r="D1661" s="4" t="s">
        <v>1315</v>
      </c>
      <c r="E1661" s="4" t="str">
        <f>"029302010"</f>
        <v>029302010</v>
      </c>
      <c r="F1661" s="10">
        <v>40192</v>
      </c>
      <c r="G1661" s="11">
        <v>350</v>
      </c>
      <c r="H1661" s="11">
        <v>0</v>
      </c>
      <c r="I1661" s="4"/>
      <c r="J1661" s="4"/>
      <c r="K1661" s="11">
        <v>0</v>
      </c>
      <c r="L1661" s="4"/>
      <c r="M1661" s="4"/>
      <c r="N1661" s="11">
        <v>350</v>
      </c>
      <c r="O1661" s="4" t="s">
        <v>308</v>
      </c>
      <c r="P1661" s="4" t="s">
        <v>309</v>
      </c>
      <c r="Q1661" s="11">
        <v>0</v>
      </c>
      <c r="R1661" s="4"/>
      <c r="S1661" s="12"/>
    </row>
    <row r="1662" spans="1:19" x14ac:dyDescent="0.25">
      <c r="A1662" s="9" t="s">
        <v>1117</v>
      </c>
      <c r="B1662" s="9" t="s">
        <v>291</v>
      </c>
      <c r="C1662" s="4">
        <v>201001528</v>
      </c>
      <c r="D1662" s="4" t="s">
        <v>1317</v>
      </c>
      <c r="E1662" s="4" t="str">
        <f>"029282010"</f>
        <v>029282010</v>
      </c>
      <c r="F1662" s="10">
        <v>40192</v>
      </c>
      <c r="G1662" s="11">
        <v>14.2</v>
      </c>
      <c r="H1662" s="11">
        <v>0</v>
      </c>
      <c r="I1662" s="4"/>
      <c r="J1662" s="4"/>
      <c r="K1662" s="11">
        <v>0</v>
      </c>
      <c r="L1662" s="4"/>
      <c r="M1662" s="4"/>
      <c r="N1662" s="11">
        <v>14.2</v>
      </c>
      <c r="O1662" s="4" t="s">
        <v>308</v>
      </c>
      <c r="P1662" s="4" t="s">
        <v>309</v>
      </c>
      <c r="Q1662" s="11">
        <v>0</v>
      </c>
      <c r="R1662" s="4"/>
      <c r="S1662" s="12"/>
    </row>
    <row r="1663" spans="1:19" x14ac:dyDescent="0.25">
      <c r="A1663" s="9" t="s">
        <v>1117</v>
      </c>
      <c r="B1663" s="9" t="s">
        <v>291</v>
      </c>
      <c r="C1663" s="4">
        <v>201001529</v>
      </c>
      <c r="D1663" s="4" t="s">
        <v>1317</v>
      </c>
      <c r="E1663" s="4" t="str">
        <f>"029402010"</f>
        <v>029402010</v>
      </c>
      <c r="F1663" s="10">
        <v>40192</v>
      </c>
      <c r="G1663" s="11">
        <v>14.4</v>
      </c>
      <c r="H1663" s="11">
        <v>0</v>
      </c>
      <c r="I1663" s="4"/>
      <c r="J1663" s="4"/>
      <c r="K1663" s="11">
        <v>0</v>
      </c>
      <c r="L1663" s="4"/>
      <c r="M1663" s="4"/>
      <c r="N1663" s="11">
        <v>14.4</v>
      </c>
      <c r="O1663" s="4" t="s">
        <v>308</v>
      </c>
      <c r="P1663" s="4" t="s">
        <v>309</v>
      </c>
      <c r="Q1663" s="11">
        <v>0</v>
      </c>
      <c r="R1663" s="4"/>
      <c r="S1663" s="12"/>
    </row>
    <row r="1664" spans="1:19" x14ac:dyDescent="0.25">
      <c r="A1664" s="9" t="s">
        <v>1117</v>
      </c>
      <c r="B1664" s="9" t="s">
        <v>291</v>
      </c>
      <c r="C1664" s="4">
        <v>201001531</v>
      </c>
      <c r="D1664" s="4"/>
      <c r="E1664" s="4" t="str">
        <f>"030152010"</f>
        <v>030152010</v>
      </c>
      <c r="F1664" s="10">
        <v>40192</v>
      </c>
      <c r="G1664" s="11">
        <v>364.18</v>
      </c>
      <c r="H1664" s="11">
        <v>0</v>
      </c>
      <c r="I1664" s="4"/>
      <c r="J1664" s="4"/>
      <c r="K1664" s="11">
        <v>0</v>
      </c>
      <c r="L1664" s="4"/>
      <c r="M1664" s="4"/>
      <c r="N1664" s="11">
        <v>364.18</v>
      </c>
      <c r="O1664" s="4" t="s">
        <v>56</v>
      </c>
      <c r="P1664" s="4" t="s">
        <v>57</v>
      </c>
      <c r="Q1664" s="11">
        <v>0</v>
      </c>
      <c r="R1664" s="4"/>
      <c r="S1664" s="12"/>
    </row>
    <row r="1665" spans="1:19" x14ac:dyDescent="0.25">
      <c r="A1665" s="9" t="s">
        <v>1117</v>
      </c>
      <c r="B1665" s="9" t="s">
        <v>291</v>
      </c>
      <c r="C1665" s="4">
        <v>201001535</v>
      </c>
      <c r="D1665" s="4" t="s">
        <v>1317</v>
      </c>
      <c r="E1665" s="4" t="str">
        <f>"029382010"</f>
        <v>029382010</v>
      </c>
      <c r="F1665" s="10">
        <v>40192</v>
      </c>
      <c r="G1665" s="11">
        <v>10</v>
      </c>
      <c r="H1665" s="11">
        <v>0</v>
      </c>
      <c r="I1665" s="4"/>
      <c r="J1665" s="4"/>
      <c r="K1665" s="11">
        <v>0</v>
      </c>
      <c r="L1665" s="4"/>
      <c r="M1665" s="4"/>
      <c r="N1665" s="11">
        <v>10</v>
      </c>
      <c r="O1665" s="4" t="s">
        <v>308</v>
      </c>
      <c r="P1665" s="4" t="s">
        <v>309</v>
      </c>
      <c r="Q1665" s="11">
        <v>0</v>
      </c>
      <c r="R1665" s="4"/>
      <c r="S1665" s="12"/>
    </row>
    <row r="1666" spans="1:19" x14ac:dyDescent="0.25">
      <c r="A1666" s="9" t="s">
        <v>1117</v>
      </c>
      <c r="B1666" s="9" t="s">
        <v>291</v>
      </c>
      <c r="C1666" s="4">
        <v>201001536</v>
      </c>
      <c r="D1666" s="4" t="s">
        <v>1315</v>
      </c>
      <c r="E1666" s="4" t="str">
        <f>"029362010"</f>
        <v>029362010</v>
      </c>
      <c r="F1666" s="10">
        <v>40192</v>
      </c>
      <c r="G1666" s="11">
        <v>350</v>
      </c>
      <c r="H1666" s="11">
        <v>0</v>
      </c>
      <c r="I1666" s="4"/>
      <c r="J1666" s="4"/>
      <c r="K1666" s="11">
        <v>0</v>
      </c>
      <c r="L1666" s="4"/>
      <c r="M1666" s="4"/>
      <c r="N1666" s="11">
        <v>350</v>
      </c>
      <c r="O1666" s="4" t="s">
        <v>308</v>
      </c>
      <c r="P1666" s="4" t="s">
        <v>309</v>
      </c>
      <c r="Q1666" s="11">
        <v>0</v>
      </c>
      <c r="R1666" s="4"/>
      <c r="S1666" s="12"/>
    </row>
    <row r="1667" spans="1:19" x14ac:dyDescent="0.25">
      <c r="A1667" s="9" t="s">
        <v>1117</v>
      </c>
      <c r="B1667" s="9" t="s">
        <v>291</v>
      </c>
      <c r="C1667" s="4">
        <v>201001538</v>
      </c>
      <c r="D1667" s="4" t="s">
        <v>1315</v>
      </c>
      <c r="E1667" s="4" t="str">
        <f>"029672010"</f>
        <v>029672010</v>
      </c>
      <c r="F1667" s="10">
        <v>40192</v>
      </c>
      <c r="G1667" s="11">
        <v>805</v>
      </c>
      <c r="H1667" s="11">
        <v>0</v>
      </c>
      <c r="I1667" s="4"/>
      <c r="J1667" s="4"/>
      <c r="K1667" s="11">
        <v>0</v>
      </c>
      <c r="L1667" s="4"/>
      <c r="M1667" s="4"/>
      <c r="N1667" s="11">
        <v>805</v>
      </c>
      <c r="O1667" s="4" t="s">
        <v>308</v>
      </c>
      <c r="P1667" s="4" t="s">
        <v>309</v>
      </c>
      <c r="Q1667" s="11">
        <v>0</v>
      </c>
      <c r="R1667" s="4"/>
      <c r="S1667" s="12"/>
    </row>
    <row r="1668" spans="1:19" x14ac:dyDescent="0.25">
      <c r="A1668" s="9" t="s">
        <v>1117</v>
      </c>
      <c r="B1668" s="9" t="s">
        <v>291</v>
      </c>
      <c r="C1668" s="4">
        <v>201001541</v>
      </c>
      <c r="D1668" s="4" t="s">
        <v>1318</v>
      </c>
      <c r="E1668" s="4" t="str">
        <f>"029612010"</f>
        <v>029612010</v>
      </c>
      <c r="F1668" s="10">
        <v>40192</v>
      </c>
      <c r="G1668" s="11">
        <v>368.96</v>
      </c>
      <c r="H1668" s="11">
        <v>0</v>
      </c>
      <c r="I1668" s="4"/>
      <c r="J1668" s="4"/>
      <c r="K1668" s="11">
        <v>0</v>
      </c>
      <c r="L1668" s="4"/>
      <c r="M1668" s="4"/>
      <c r="N1668" s="11">
        <v>368.96</v>
      </c>
      <c r="O1668" s="4" t="s">
        <v>56</v>
      </c>
      <c r="P1668" s="4" t="s">
        <v>57</v>
      </c>
      <c r="Q1668" s="11">
        <v>0</v>
      </c>
      <c r="R1668" s="4"/>
      <c r="S1668" s="12"/>
    </row>
    <row r="1669" spans="1:19" x14ac:dyDescent="0.25">
      <c r="A1669" s="9" t="s">
        <v>1117</v>
      </c>
      <c r="B1669" s="9" t="s">
        <v>291</v>
      </c>
      <c r="C1669" s="4">
        <v>201001558</v>
      </c>
      <c r="D1669" s="4" t="s">
        <v>1319</v>
      </c>
      <c r="E1669" s="4" t="str">
        <f>"029872010"</f>
        <v>029872010</v>
      </c>
      <c r="F1669" s="10">
        <v>40192</v>
      </c>
      <c r="G1669" s="11">
        <v>350</v>
      </c>
      <c r="H1669" s="11">
        <v>0</v>
      </c>
      <c r="I1669" s="4"/>
      <c r="J1669" s="4"/>
      <c r="K1669" s="11">
        <v>0</v>
      </c>
      <c r="L1669" s="4"/>
      <c r="M1669" s="4"/>
      <c r="N1669" s="11">
        <v>350</v>
      </c>
      <c r="O1669" s="4" t="s">
        <v>56</v>
      </c>
      <c r="P1669" s="4" t="s">
        <v>57</v>
      </c>
      <c r="Q1669" s="11">
        <v>0</v>
      </c>
      <c r="R1669" s="4"/>
      <c r="S1669" s="12"/>
    </row>
    <row r="1670" spans="1:19" x14ac:dyDescent="0.25">
      <c r="A1670" s="9" t="s">
        <v>1117</v>
      </c>
      <c r="B1670" s="9" t="s">
        <v>291</v>
      </c>
      <c r="C1670" s="4">
        <v>201001559</v>
      </c>
      <c r="D1670" s="4" t="s">
        <v>1320</v>
      </c>
      <c r="E1670" s="4" t="str">
        <f>"030112010"</f>
        <v>030112010</v>
      </c>
      <c r="F1670" s="10">
        <v>40192</v>
      </c>
      <c r="G1670" s="11">
        <v>350</v>
      </c>
      <c r="H1670" s="11">
        <v>0</v>
      </c>
      <c r="I1670" s="4"/>
      <c r="J1670" s="4"/>
      <c r="K1670" s="11">
        <v>0</v>
      </c>
      <c r="L1670" s="4"/>
      <c r="M1670" s="4"/>
      <c r="N1670" s="11">
        <v>350</v>
      </c>
      <c r="O1670" s="4" t="s">
        <v>56</v>
      </c>
      <c r="P1670" s="4" t="s">
        <v>57</v>
      </c>
      <c r="Q1670" s="11">
        <v>0</v>
      </c>
      <c r="R1670" s="4"/>
      <c r="S1670" s="12"/>
    </row>
    <row r="1671" spans="1:19" x14ac:dyDescent="0.25">
      <c r="A1671" s="9" t="s">
        <v>1117</v>
      </c>
      <c r="B1671" s="9" t="s">
        <v>291</v>
      </c>
      <c r="C1671" s="4">
        <v>201001560</v>
      </c>
      <c r="D1671" s="4" t="s">
        <v>1315</v>
      </c>
      <c r="E1671" s="4" t="str">
        <f>"029932010"</f>
        <v>029932010</v>
      </c>
      <c r="F1671" s="10">
        <v>40192</v>
      </c>
      <c r="G1671" s="11">
        <v>150</v>
      </c>
      <c r="H1671" s="11">
        <v>0</v>
      </c>
      <c r="I1671" s="4"/>
      <c r="J1671" s="4"/>
      <c r="K1671" s="11">
        <v>0</v>
      </c>
      <c r="L1671" s="4"/>
      <c r="M1671" s="4"/>
      <c r="N1671" s="11">
        <v>150</v>
      </c>
      <c r="O1671" s="4" t="s">
        <v>308</v>
      </c>
      <c r="P1671" s="4" t="s">
        <v>309</v>
      </c>
      <c r="Q1671" s="11">
        <v>0</v>
      </c>
      <c r="R1671" s="4"/>
      <c r="S1671" s="12"/>
    </row>
    <row r="1672" spans="1:19" x14ac:dyDescent="0.25">
      <c r="A1672" s="9" t="s">
        <v>1117</v>
      </c>
      <c r="B1672" s="9" t="s">
        <v>291</v>
      </c>
      <c r="C1672" s="4">
        <v>201001561</v>
      </c>
      <c r="D1672" s="4" t="s">
        <v>1320</v>
      </c>
      <c r="E1672" s="4" t="str">
        <f>"030032010"</f>
        <v>030032010</v>
      </c>
      <c r="F1672" s="10">
        <v>40192</v>
      </c>
      <c r="G1672" s="11">
        <v>350</v>
      </c>
      <c r="H1672" s="11">
        <v>0</v>
      </c>
      <c r="I1672" s="4"/>
      <c r="J1672" s="4"/>
      <c r="K1672" s="11">
        <v>0</v>
      </c>
      <c r="L1672" s="4"/>
      <c r="M1672" s="4"/>
      <c r="N1672" s="11">
        <v>350</v>
      </c>
      <c r="O1672" s="4" t="s">
        <v>56</v>
      </c>
      <c r="P1672" s="4" t="s">
        <v>57</v>
      </c>
      <c r="Q1672" s="11">
        <v>0</v>
      </c>
      <c r="R1672" s="4"/>
      <c r="S1672" s="12"/>
    </row>
    <row r="1673" spans="1:19" x14ac:dyDescent="0.25">
      <c r="A1673" s="9" t="s">
        <v>1117</v>
      </c>
      <c r="B1673" s="9" t="s">
        <v>291</v>
      </c>
      <c r="C1673" s="4">
        <v>201001565</v>
      </c>
      <c r="D1673" s="4" t="s">
        <v>1321</v>
      </c>
      <c r="E1673" s="4" t="str">
        <f>"030132010"</f>
        <v>030132010</v>
      </c>
      <c r="F1673" s="10">
        <v>40192</v>
      </c>
      <c r="G1673" s="11">
        <v>350</v>
      </c>
      <c r="H1673" s="11">
        <v>0</v>
      </c>
      <c r="I1673" s="4"/>
      <c r="J1673" s="4"/>
      <c r="K1673" s="11">
        <v>0</v>
      </c>
      <c r="L1673" s="4"/>
      <c r="M1673" s="4"/>
      <c r="N1673" s="11">
        <v>350</v>
      </c>
      <c r="O1673" s="4" t="s">
        <v>308</v>
      </c>
      <c r="P1673" s="4" t="s">
        <v>309</v>
      </c>
      <c r="Q1673" s="11">
        <v>0</v>
      </c>
      <c r="R1673" s="4"/>
      <c r="S1673" s="12"/>
    </row>
    <row r="1674" spans="1:19" x14ac:dyDescent="0.25">
      <c r="A1674" s="9" t="s">
        <v>1117</v>
      </c>
      <c r="B1674" s="9" t="s">
        <v>291</v>
      </c>
      <c r="C1674" s="4">
        <v>201001567</v>
      </c>
      <c r="D1674" s="4" t="s">
        <v>1322</v>
      </c>
      <c r="E1674" s="4" t="str">
        <f>"030052010"</f>
        <v>030052010</v>
      </c>
      <c r="F1674" s="10">
        <v>40192</v>
      </c>
      <c r="G1674" s="11">
        <v>370</v>
      </c>
      <c r="H1674" s="11">
        <v>0</v>
      </c>
      <c r="I1674" s="4"/>
      <c r="J1674" s="4"/>
      <c r="K1674" s="11">
        <v>0</v>
      </c>
      <c r="L1674" s="4"/>
      <c r="M1674" s="4"/>
      <c r="N1674" s="11">
        <v>370</v>
      </c>
      <c r="O1674" s="4" t="s">
        <v>56</v>
      </c>
      <c r="P1674" s="4" t="s">
        <v>57</v>
      </c>
      <c r="Q1674" s="11">
        <v>0</v>
      </c>
      <c r="R1674" s="4"/>
      <c r="S1674" s="12"/>
    </row>
    <row r="1675" spans="1:19" x14ac:dyDescent="0.25">
      <c r="A1675" s="9" t="s">
        <v>1117</v>
      </c>
      <c r="B1675" s="9" t="s">
        <v>291</v>
      </c>
      <c r="C1675" s="4">
        <v>201001570</v>
      </c>
      <c r="D1675" s="4" t="s">
        <v>1323</v>
      </c>
      <c r="E1675" s="4" t="str">
        <f>"030352010"</f>
        <v>030352010</v>
      </c>
      <c r="F1675" s="10">
        <v>40192</v>
      </c>
      <c r="G1675" s="11">
        <v>350</v>
      </c>
      <c r="H1675" s="11">
        <v>0</v>
      </c>
      <c r="I1675" s="4"/>
      <c r="J1675" s="4"/>
      <c r="K1675" s="11">
        <v>0</v>
      </c>
      <c r="L1675" s="4"/>
      <c r="M1675" s="4"/>
      <c r="N1675" s="11">
        <v>350</v>
      </c>
      <c r="O1675" s="4" t="s">
        <v>308</v>
      </c>
      <c r="P1675" s="4" t="s">
        <v>309</v>
      </c>
      <c r="Q1675" s="11">
        <v>0</v>
      </c>
      <c r="R1675" s="4"/>
      <c r="S1675" s="12"/>
    </row>
    <row r="1676" spans="1:19" x14ac:dyDescent="0.25">
      <c r="A1676" s="9" t="s">
        <v>1117</v>
      </c>
      <c r="B1676" s="9" t="s">
        <v>291</v>
      </c>
      <c r="C1676" s="4">
        <v>201001571</v>
      </c>
      <c r="D1676" s="4" t="s">
        <v>1324</v>
      </c>
      <c r="E1676" s="4" t="str">
        <f>"030312010"</f>
        <v>030312010</v>
      </c>
      <c r="F1676" s="10">
        <v>40192</v>
      </c>
      <c r="G1676" s="11">
        <v>763.1</v>
      </c>
      <c r="H1676" s="11">
        <v>0</v>
      </c>
      <c r="I1676" s="4"/>
      <c r="J1676" s="4"/>
      <c r="K1676" s="11">
        <v>0</v>
      </c>
      <c r="L1676" s="4"/>
      <c r="M1676" s="4"/>
      <c r="N1676" s="11">
        <v>763.1</v>
      </c>
      <c r="O1676" s="4" t="s">
        <v>308</v>
      </c>
      <c r="P1676" s="4" t="s">
        <v>309</v>
      </c>
      <c r="Q1676" s="11">
        <v>0</v>
      </c>
      <c r="R1676" s="4"/>
      <c r="S1676" s="12"/>
    </row>
    <row r="1677" spans="1:19" x14ac:dyDescent="0.25">
      <c r="A1677" s="9" t="s">
        <v>1117</v>
      </c>
      <c r="B1677" s="9" t="s">
        <v>291</v>
      </c>
      <c r="C1677" s="4">
        <v>201001573</v>
      </c>
      <c r="D1677" s="4" t="s">
        <v>1325</v>
      </c>
      <c r="E1677" s="4" t="str">
        <f>"030252010"</f>
        <v>030252010</v>
      </c>
      <c r="F1677" s="10">
        <v>40192</v>
      </c>
      <c r="G1677" s="11">
        <v>350</v>
      </c>
      <c r="H1677" s="11">
        <v>0</v>
      </c>
      <c r="I1677" s="4"/>
      <c r="J1677" s="4"/>
      <c r="K1677" s="11">
        <v>0</v>
      </c>
      <c r="L1677" s="4"/>
      <c r="M1677" s="4"/>
      <c r="N1677" s="11">
        <v>350</v>
      </c>
      <c r="O1677" s="4" t="s">
        <v>308</v>
      </c>
      <c r="P1677" s="4" t="s">
        <v>309</v>
      </c>
      <c r="Q1677" s="11">
        <v>0</v>
      </c>
      <c r="R1677" s="4"/>
      <c r="S1677" s="12"/>
    </row>
    <row r="1678" spans="1:19" x14ac:dyDescent="0.25">
      <c r="A1678" s="9" t="s">
        <v>1117</v>
      </c>
      <c r="B1678" s="9" t="s">
        <v>291</v>
      </c>
      <c r="C1678" s="4">
        <v>201001574</v>
      </c>
      <c r="D1678" s="4" t="s">
        <v>1326</v>
      </c>
      <c r="E1678" s="4" t="str">
        <f>"030072010"</f>
        <v>030072010</v>
      </c>
      <c r="F1678" s="10">
        <v>40192</v>
      </c>
      <c r="G1678" s="11">
        <v>22.2</v>
      </c>
      <c r="H1678" s="11">
        <v>0</v>
      </c>
      <c r="I1678" s="4"/>
      <c r="J1678" s="4"/>
      <c r="K1678" s="11">
        <v>0</v>
      </c>
      <c r="L1678" s="4"/>
      <c r="M1678" s="4"/>
      <c r="N1678" s="11">
        <v>22.2</v>
      </c>
      <c r="O1678" s="4" t="s">
        <v>308</v>
      </c>
      <c r="P1678" s="4" t="s">
        <v>309</v>
      </c>
      <c r="Q1678" s="11">
        <v>0</v>
      </c>
      <c r="R1678" s="4"/>
      <c r="S1678" s="12"/>
    </row>
    <row r="1679" spans="1:19" x14ac:dyDescent="0.25">
      <c r="A1679" s="9" t="s">
        <v>1117</v>
      </c>
      <c r="B1679" s="9" t="s">
        <v>291</v>
      </c>
      <c r="C1679" s="4">
        <v>201001575</v>
      </c>
      <c r="D1679" s="4" t="s">
        <v>1321</v>
      </c>
      <c r="E1679" s="4" t="str">
        <f>"030592010"</f>
        <v>030592010</v>
      </c>
      <c r="F1679" s="10">
        <v>40192</v>
      </c>
      <c r="G1679" s="11">
        <v>250</v>
      </c>
      <c r="H1679" s="11">
        <v>0</v>
      </c>
      <c r="I1679" s="4"/>
      <c r="J1679" s="4"/>
      <c r="K1679" s="11">
        <v>0</v>
      </c>
      <c r="L1679" s="4"/>
      <c r="M1679" s="4"/>
      <c r="N1679" s="11">
        <v>250</v>
      </c>
      <c r="O1679" s="4" t="s">
        <v>308</v>
      </c>
      <c r="P1679" s="4" t="s">
        <v>309</v>
      </c>
      <c r="Q1679" s="11">
        <v>0</v>
      </c>
      <c r="R1679" s="4"/>
      <c r="S1679" s="12"/>
    </row>
    <row r="1680" spans="1:19" x14ac:dyDescent="0.25">
      <c r="A1680" s="9" t="s">
        <v>1117</v>
      </c>
      <c r="B1680" s="9" t="s">
        <v>291</v>
      </c>
      <c r="C1680" s="4">
        <v>201001576</v>
      </c>
      <c r="D1680" s="4" t="s">
        <v>1324</v>
      </c>
      <c r="E1680" s="4" t="str">
        <f>"030372010"</f>
        <v>030372010</v>
      </c>
      <c r="F1680" s="10">
        <v>40192</v>
      </c>
      <c r="G1680" s="11">
        <v>18</v>
      </c>
      <c r="H1680" s="11">
        <v>0</v>
      </c>
      <c r="I1680" s="4"/>
      <c r="J1680" s="4"/>
      <c r="K1680" s="11">
        <v>0</v>
      </c>
      <c r="L1680" s="4"/>
      <c r="M1680" s="4"/>
      <c r="N1680" s="11">
        <v>18</v>
      </c>
      <c r="O1680" s="4" t="s">
        <v>308</v>
      </c>
      <c r="P1680" s="4" t="s">
        <v>309</v>
      </c>
      <c r="Q1680" s="11">
        <v>0</v>
      </c>
      <c r="R1680" s="4"/>
      <c r="S1680" s="12"/>
    </row>
    <row r="1681" spans="1:19" x14ac:dyDescent="0.25">
      <c r="A1681" s="9" t="s">
        <v>1117</v>
      </c>
      <c r="B1681" s="9" t="s">
        <v>291</v>
      </c>
      <c r="C1681" s="4">
        <v>201001577</v>
      </c>
      <c r="D1681" s="4" t="s">
        <v>1327</v>
      </c>
      <c r="E1681" s="4" t="str">
        <f>"030332010"</f>
        <v>030332010</v>
      </c>
      <c r="F1681" s="10">
        <v>40192</v>
      </c>
      <c r="G1681" s="11">
        <v>18.21</v>
      </c>
      <c r="H1681" s="11">
        <v>0</v>
      </c>
      <c r="I1681" s="4"/>
      <c r="J1681" s="4"/>
      <c r="K1681" s="11">
        <v>0</v>
      </c>
      <c r="L1681" s="4"/>
      <c r="M1681" s="4"/>
      <c r="N1681" s="11">
        <v>18.21</v>
      </c>
      <c r="O1681" s="4" t="s">
        <v>308</v>
      </c>
      <c r="P1681" s="4" t="s">
        <v>309</v>
      </c>
      <c r="Q1681" s="11">
        <v>0</v>
      </c>
      <c r="R1681" s="4"/>
      <c r="S1681" s="12"/>
    </row>
    <row r="1682" spans="1:19" x14ac:dyDescent="0.25">
      <c r="A1682" s="9" t="s">
        <v>1117</v>
      </c>
      <c r="B1682" s="9" t="s">
        <v>291</v>
      </c>
      <c r="C1682" s="4">
        <v>201001578</v>
      </c>
      <c r="D1682" s="4" t="s">
        <v>1328</v>
      </c>
      <c r="E1682" s="4" t="str">
        <f>"030292010"</f>
        <v>030292010</v>
      </c>
      <c r="F1682" s="10">
        <v>40192</v>
      </c>
      <c r="G1682" s="11">
        <v>57.2</v>
      </c>
      <c r="H1682" s="11">
        <v>0</v>
      </c>
      <c r="I1682" s="4"/>
      <c r="J1682" s="4"/>
      <c r="K1682" s="11">
        <v>0</v>
      </c>
      <c r="L1682" s="4"/>
      <c r="M1682" s="4"/>
      <c r="N1682" s="11">
        <v>57.2</v>
      </c>
      <c r="O1682" s="4" t="s">
        <v>308</v>
      </c>
      <c r="P1682" s="4" t="s">
        <v>309</v>
      </c>
      <c r="Q1682" s="11">
        <v>0</v>
      </c>
      <c r="R1682" s="4"/>
      <c r="S1682" s="12"/>
    </row>
    <row r="1683" spans="1:19" x14ac:dyDescent="0.25">
      <c r="A1683" s="9" t="s">
        <v>1117</v>
      </c>
      <c r="B1683" s="9" t="s">
        <v>291</v>
      </c>
      <c r="C1683" s="4">
        <v>201001579</v>
      </c>
      <c r="D1683" s="4" t="s">
        <v>1329</v>
      </c>
      <c r="E1683" s="4" t="str">
        <f>"030232010"</f>
        <v>030232010</v>
      </c>
      <c r="F1683" s="10">
        <v>40192</v>
      </c>
      <c r="G1683" s="11">
        <v>477.39</v>
      </c>
      <c r="H1683" s="11">
        <v>0</v>
      </c>
      <c r="I1683" s="4"/>
      <c r="J1683" s="4"/>
      <c r="K1683" s="11">
        <v>0</v>
      </c>
      <c r="L1683" s="4"/>
      <c r="M1683" s="4"/>
      <c r="N1683" s="11">
        <v>477.39</v>
      </c>
      <c r="O1683" s="4" t="s">
        <v>308</v>
      </c>
      <c r="P1683" s="4" t="s">
        <v>309</v>
      </c>
      <c r="Q1683" s="11">
        <v>0</v>
      </c>
      <c r="R1683" s="4"/>
      <c r="S1683" s="12"/>
    </row>
    <row r="1684" spans="1:19" x14ac:dyDescent="0.25">
      <c r="A1684" s="9" t="s">
        <v>1117</v>
      </c>
      <c r="B1684" s="9" t="s">
        <v>291</v>
      </c>
      <c r="C1684" s="4">
        <v>201001581</v>
      </c>
      <c r="D1684" s="4" t="s">
        <v>1223</v>
      </c>
      <c r="E1684" s="4" t="str">
        <f>"030632010"</f>
        <v>030632010</v>
      </c>
      <c r="F1684" s="10">
        <v>40193</v>
      </c>
      <c r="G1684" s="11">
        <v>350</v>
      </c>
      <c r="H1684" s="11">
        <v>0</v>
      </c>
      <c r="I1684" s="4"/>
      <c r="J1684" s="4"/>
      <c r="K1684" s="11">
        <v>0</v>
      </c>
      <c r="L1684" s="4"/>
      <c r="M1684" s="4"/>
      <c r="N1684" s="11">
        <v>350</v>
      </c>
      <c r="O1684" s="4" t="s">
        <v>56</v>
      </c>
      <c r="P1684" s="4" t="s">
        <v>57</v>
      </c>
      <c r="Q1684" s="11">
        <v>0</v>
      </c>
      <c r="R1684" s="4"/>
      <c r="S1684" s="12"/>
    </row>
    <row r="1685" spans="1:19" x14ac:dyDescent="0.25">
      <c r="A1685" s="9" t="s">
        <v>1117</v>
      </c>
      <c r="B1685" s="9" t="s">
        <v>291</v>
      </c>
      <c r="C1685" s="4">
        <v>201001582</v>
      </c>
      <c r="D1685" s="4" t="s">
        <v>1330</v>
      </c>
      <c r="E1685" s="4" t="str">
        <f>"030612010"</f>
        <v>030612010</v>
      </c>
      <c r="F1685" s="10">
        <v>40192</v>
      </c>
      <c r="G1685" s="11">
        <v>175</v>
      </c>
      <c r="H1685" s="11">
        <v>0</v>
      </c>
      <c r="I1685" s="4"/>
      <c r="J1685" s="4"/>
      <c r="K1685" s="11">
        <v>0</v>
      </c>
      <c r="L1685" s="4"/>
      <c r="M1685" s="4"/>
      <c r="N1685" s="11">
        <v>175</v>
      </c>
      <c r="O1685" s="4" t="s">
        <v>56</v>
      </c>
      <c r="P1685" s="4" t="s">
        <v>57</v>
      </c>
      <c r="Q1685" s="11">
        <v>0</v>
      </c>
      <c r="R1685" s="4"/>
      <c r="S1685" s="12"/>
    </row>
    <row r="1686" spans="1:19" x14ac:dyDescent="0.25">
      <c r="A1686" s="9" t="s">
        <v>1117</v>
      </c>
      <c r="B1686" s="9" t="s">
        <v>291</v>
      </c>
      <c r="C1686" s="4">
        <v>201001583</v>
      </c>
      <c r="D1686" s="4" t="s">
        <v>1326</v>
      </c>
      <c r="E1686" s="4" t="str">
        <f>"030552010"</f>
        <v>030552010</v>
      </c>
      <c r="F1686" s="10">
        <v>40192</v>
      </c>
      <c r="G1686" s="11">
        <v>71.400000000000006</v>
      </c>
      <c r="H1686" s="11">
        <v>0</v>
      </c>
      <c r="I1686" s="4"/>
      <c r="J1686" s="4"/>
      <c r="K1686" s="11">
        <v>0</v>
      </c>
      <c r="L1686" s="4"/>
      <c r="M1686" s="4"/>
      <c r="N1686" s="11">
        <v>71.400000000000006</v>
      </c>
      <c r="O1686" s="4" t="s">
        <v>56</v>
      </c>
      <c r="P1686" s="4" t="s">
        <v>57</v>
      </c>
      <c r="Q1686" s="11">
        <v>0</v>
      </c>
      <c r="R1686" s="4"/>
      <c r="S1686" s="12"/>
    </row>
    <row r="1687" spans="1:19" x14ac:dyDescent="0.25">
      <c r="A1687" s="9" t="s">
        <v>1117</v>
      </c>
      <c r="B1687" s="9" t="s">
        <v>291</v>
      </c>
      <c r="C1687" s="4">
        <v>201001584</v>
      </c>
      <c r="D1687" s="4" t="s">
        <v>1331</v>
      </c>
      <c r="E1687" s="4" t="str">
        <f>"030692010"</f>
        <v>030692010</v>
      </c>
      <c r="F1687" s="10">
        <v>40193</v>
      </c>
      <c r="G1687" s="11">
        <v>367.12</v>
      </c>
      <c r="H1687" s="11">
        <v>0</v>
      </c>
      <c r="I1687" s="4"/>
      <c r="J1687" s="4"/>
      <c r="K1687" s="11">
        <v>0</v>
      </c>
      <c r="L1687" s="4"/>
      <c r="M1687" s="4"/>
      <c r="N1687" s="11">
        <v>367.12</v>
      </c>
      <c r="O1687" s="4" t="s">
        <v>56</v>
      </c>
      <c r="P1687" s="4" t="s">
        <v>57</v>
      </c>
      <c r="Q1687" s="11">
        <v>0</v>
      </c>
      <c r="R1687" s="4"/>
      <c r="S1687" s="12"/>
    </row>
    <row r="1688" spans="1:19" x14ac:dyDescent="0.25">
      <c r="A1688" s="9" t="s">
        <v>1117</v>
      </c>
      <c r="B1688" s="9" t="s">
        <v>291</v>
      </c>
      <c r="C1688" s="4">
        <v>201001588</v>
      </c>
      <c r="D1688" s="4" t="s">
        <v>1326</v>
      </c>
      <c r="E1688" s="4" t="str">
        <f>"030902010"</f>
        <v>030902010</v>
      </c>
      <c r="F1688" s="10">
        <v>40193</v>
      </c>
      <c r="G1688" s="11">
        <v>11.6</v>
      </c>
      <c r="H1688" s="11">
        <v>0</v>
      </c>
      <c r="I1688" s="4"/>
      <c r="J1688" s="4"/>
      <c r="K1688" s="11">
        <v>0</v>
      </c>
      <c r="L1688" s="4"/>
      <c r="M1688" s="4"/>
      <c r="N1688" s="11">
        <v>11.6</v>
      </c>
      <c r="O1688" s="4" t="s">
        <v>56</v>
      </c>
      <c r="P1688" s="4" t="s">
        <v>57</v>
      </c>
      <c r="Q1688" s="11">
        <v>0</v>
      </c>
      <c r="R1688" s="4"/>
      <c r="S1688" s="12"/>
    </row>
    <row r="1689" spans="1:19" x14ac:dyDescent="0.25">
      <c r="A1689" s="9" t="s">
        <v>1117</v>
      </c>
      <c r="B1689" s="9" t="s">
        <v>291</v>
      </c>
      <c r="C1689" s="4">
        <v>201001596</v>
      </c>
      <c r="D1689" s="4" t="s">
        <v>1325</v>
      </c>
      <c r="E1689" s="4" t="str">
        <f>"030942010"</f>
        <v>030942010</v>
      </c>
      <c r="F1689" s="10">
        <v>40193</v>
      </c>
      <c r="G1689" s="11">
        <v>350.75</v>
      </c>
      <c r="H1689" s="11">
        <v>0</v>
      </c>
      <c r="I1689" s="4"/>
      <c r="J1689" s="4"/>
      <c r="K1689" s="11">
        <v>0</v>
      </c>
      <c r="L1689" s="4"/>
      <c r="M1689" s="4"/>
      <c r="N1689" s="11">
        <v>350.75</v>
      </c>
      <c r="O1689" s="4" t="s">
        <v>308</v>
      </c>
      <c r="P1689" s="4" t="s">
        <v>309</v>
      </c>
      <c r="Q1689" s="11">
        <v>0</v>
      </c>
      <c r="R1689" s="4"/>
      <c r="S1689" s="12"/>
    </row>
    <row r="1690" spans="1:19" x14ac:dyDescent="0.25">
      <c r="A1690" s="9" t="s">
        <v>1117</v>
      </c>
      <c r="B1690" s="9" t="s">
        <v>291</v>
      </c>
      <c r="C1690" s="4">
        <v>201001600</v>
      </c>
      <c r="D1690" s="4" t="s">
        <v>1332</v>
      </c>
      <c r="E1690" s="4" t="str">
        <f>"031102010"</f>
        <v>031102010</v>
      </c>
      <c r="F1690" s="10">
        <v>40197</v>
      </c>
      <c r="G1690" s="11">
        <v>350</v>
      </c>
      <c r="H1690" s="11">
        <v>0</v>
      </c>
      <c r="I1690" s="4"/>
      <c r="J1690" s="4"/>
      <c r="K1690" s="11">
        <v>0</v>
      </c>
      <c r="L1690" s="4"/>
      <c r="M1690" s="4"/>
      <c r="N1690" s="11">
        <v>350</v>
      </c>
      <c r="O1690" s="4" t="s">
        <v>56</v>
      </c>
      <c r="P1690" s="4" t="s">
        <v>57</v>
      </c>
      <c r="Q1690" s="11">
        <v>0</v>
      </c>
      <c r="R1690" s="4"/>
      <c r="S1690" s="12"/>
    </row>
    <row r="1691" spans="1:19" x14ac:dyDescent="0.25">
      <c r="A1691" s="9" t="s">
        <v>1117</v>
      </c>
      <c r="B1691" s="9" t="s">
        <v>291</v>
      </c>
      <c r="C1691" s="4">
        <v>201001601</v>
      </c>
      <c r="D1691" s="4" t="s">
        <v>1321</v>
      </c>
      <c r="E1691" s="4" t="str">
        <f>"031002010"</f>
        <v>031002010</v>
      </c>
      <c r="F1691" s="10">
        <v>40197</v>
      </c>
      <c r="G1691" s="11">
        <v>350</v>
      </c>
      <c r="H1691" s="11">
        <v>0</v>
      </c>
      <c r="I1691" s="4"/>
      <c r="J1691" s="4"/>
      <c r="K1691" s="11">
        <v>0</v>
      </c>
      <c r="L1691" s="4"/>
      <c r="M1691" s="4"/>
      <c r="N1691" s="11">
        <v>350</v>
      </c>
      <c r="O1691" s="4" t="s">
        <v>308</v>
      </c>
      <c r="P1691" s="4" t="s">
        <v>309</v>
      </c>
      <c r="Q1691" s="11">
        <v>0</v>
      </c>
      <c r="R1691" s="4"/>
      <c r="S1691" s="12"/>
    </row>
    <row r="1692" spans="1:19" x14ac:dyDescent="0.25">
      <c r="A1692" s="9" t="s">
        <v>1117</v>
      </c>
      <c r="B1692" s="9" t="s">
        <v>291</v>
      </c>
      <c r="C1692" s="4">
        <v>201001603</v>
      </c>
      <c r="D1692" s="4" t="s">
        <v>1333</v>
      </c>
      <c r="E1692" s="4" t="str">
        <f>"031442010"</f>
        <v>031442010</v>
      </c>
      <c r="F1692" s="10">
        <v>40200</v>
      </c>
      <c r="G1692" s="11">
        <v>350</v>
      </c>
      <c r="H1692" s="11">
        <v>0</v>
      </c>
      <c r="I1692" s="4"/>
      <c r="J1692" s="4"/>
      <c r="K1692" s="11">
        <v>0</v>
      </c>
      <c r="L1692" s="4"/>
      <c r="M1692" s="4"/>
      <c r="N1692" s="11">
        <v>350</v>
      </c>
      <c r="O1692" s="4" t="s">
        <v>56</v>
      </c>
      <c r="P1692" s="4" t="s">
        <v>57</v>
      </c>
      <c r="Q1692" s="11">
        <v>0</v>
      </c>
      <c r="R1692" s="4"/>
      <c r="S1692" s="12"/>
    </row>
    <row r="1693" spans="1:19" x14ac:dyDescent="0.25">
      <c r="A1693" s="9" t="s">
        <v>1117</v>
      </c>
      <c r="B1693" s="9" t="s">
        <v>291</v>
      </c>
      <c r="C1693" s="4">
        <v>201001604</v>
      </c>
      <c r="D1693" s="4" t="s">
        <v>1334</v>
      </c>
      <c r="E1693" s="4" t="str">
        <f>"030962010"</f>
        <v>030962010</v>
      </c>
      <c r="F1693" s="10">
        <v>40197</v>
      </c>
      <c r="G1693" s="11">
        <v>356.75</v>
      </c>
      <c r="H1693" s="11">
        <v>0</v>
      </c>
      <c r="I1693" s="4"/>
      <c r="J1693" s="4"/>
      <c r="K1693" s="11">
        <v>0</v>
      </c>
      <c r="L1693" s="4"/>
      <c r="M1693" s="4"/>
      <c r="N1693" s="11">
        <v>356.75</v>
      </c>
      <c r="O1693" s="4" t="s">
        <v>308</v>
      </c>
      <c r="P1693" s="4" t="s">
        <v>309</v>
      </c>
      <c r="Q1693" s="11">
        <v>0</v>
      </c>
      <c r="R1693" s="4"/>
      <c r="S1693" s="12"/>
    </row>
    <row r="1694" spans="1:19" x14ac:dyDescent="0.25">
      <c r="A1694" s="9" t="s">
        <v>1117</v>
      </c>
      <c r="B1694" s="9" t="s">
        <v>291</v>
      </c>
      <c r="C1694" s="4">
        <v>201001605</v>
      </c>
      <c r="D1694" s="4" t="s">
        <v>1335</v>
      </c>
      <c r="E1694" s="4" t="str">
        <f>"030922010"</f>
        <v>030922010</v>
      </c>
      <c r="F1694" s="10">
        <v>40193</v>
      </c>
      <c r="G1694" s="11">
        <v>350</v>
      </c>
      <c r="H1694" s="11">
        <v>0</v>
      </c>
      <c r="I1694" s="4"/>
      <c r="J1694" s="4"/>
      <c r="K1694" s="11">
        <v>0</v>
      </c>
      <c r="L1694" s="4"/>
      <c r="M1694" s="4"/>
      <c r="N1694" s="11">
        <v>350</v>
      </c>
      <c r="O1694" s="4" t="s">
        <v>56</v>
      </c>
      <c r="P1694" s="4" t="s">
        <v>57</v>
      </c>
      <c r="Q1694" s="11">
        <v>0</v>
      </c>
      <c r="R1694" s="4"/>
      <c r="S1694" s="12"/>
    </row>
    <row r="1695" spans="1:19" x14ac:dyDescent="0.25">
      <c r="A1695" s="9" t="s">
        <v>1117</v>
      </c>
      <c r="B1695" s="9" t="s">
        <v>291</v>
      </c>
      <c r="C1695" s="4">
        <v>201001606</v>
      </c>
      <c r="D1695" s="4" t="s">
        <v>1336</v>
      </c>
      <c r="E1695" s="4" t="str">
        <f>"031042010"</f>
        <v>031042010</v>
      </c>
      <c r="F1695" s="10">
        <v>40197</v>
      </c>
      <c r="G1695" s="11">
        <v>356</v>
      </c>
      <c r="H1695" s="11">
        <v>0</v>
      </c>
      <c r="I1695" s="4"/>
      <c r="J1695" s="4"/>
      <c r="K1695" s="11">
        <v>0</v>
      </c>
      <c r="L1695" s="4"/>
      <c r="M1695" s="4"/>
      <c r="N1695" s="11">
        <v>356</v>
      </c>
      <c r="O1695" s="4" t="s">
        <v>56</v>
      </c>
      <c r="P1695" s="4" t="s">
        <v>57</v>
      </c>
      <c r="Q1695" s="11">
        <v>0</v>
      </c>
      <c r="R1695" s="4"/>
      <c r="S1695" s="12"/>
    </row>
    <row r="1696" spans="1:19" x14ac:dyDescent="0.25">
      <c r="A1696" s="9" t="s">
        <v>1117</v>
      </c>
      <c r="B1696" s="9" t="s">
        <v>291</v>
      </c>
      <c r="C1696" s="4">
        <v>201001607</v>
      </c>
      <c r="D1696" s="4" t="s">
        <v>1337</v>
      </c>
      <c r="E1696" s="4" t="str">
        <f>"031022010"</f>
        <v>031022010</v>
      </c>
      <c r="F1696" s="10">
        <v>40197</v>
      </c>
      <c r="G1696" s="11">
        <v>350</v>
      </c>
      <c r="H1696" s="11">
        <v>0</v>
      </c>
      <c r="I1696" s="4"/>
      <c r="J1696" s="4"/>
      <c r="K1696" s="11">
        <v>0</v>
      </c>
      <c r="L1696" s="4"/>
      <c r="M1696" s="4"/>
      <c r="N1696" s="11">
        <v>350</v>
      </c>
      <c r="O1696" s="4" t="s">
        <v>308</v>
      </c>
      <c r="P1696" s="4" t="s">
        <v>309</v>
      </c>
      <c r="Q1696" s="11">
        <v>0</v>
      </c>
      <c r="R1696" s="4"/>
      <c r="S1696" s="12"/>
    </row>
    <row r="1697" spans="1:19" x14ac:dyDescent="0.25">
      <c r="A1697" s="9" t="s">
        <v>1117</v>
      </c>
      <c r="B1697" s="9" t="s">
        <v>291</v>
      </c>
      <c r="C1697" s="4">
        <v>201001608</v>
      </c>
      <c r="D1697" s="4" t="s">
        <v>1326</v>
      </c>
      <c r="E1697" s="4" t="str">
        <f>"031402010"</f>
        <v>031402010</v>
      </c>
      <c r="F1697" s="10">
        <v>40200</v>
      </c>
      <c r="G1697" s="11">
        <v>6.2</v>
      </c>
      <c r="H1697" s="11">
        <v>0</v>
      </c>
      <c r="I1697" s="4"/>
      <c r="J1697" s="4"/>
      <c r="K1697" s="11">
        <v>0</v>
      </c>
      <c r="L1697" s="4"/>
      <c r="M1697" s="4"/>
      <c r="N1697" s="11">
        <v>6.2</v>
      </c>
      <c r="O1697" s="4" t="s">
        <v>56</v>
      </c>
      <c r="P1697" s="4" t="s">
        <v>57</v>
      </c>
      <c r="Q1697" s="11">
        <v>0</v>
      </c>
      <c r="R1697" s="4"/>
      <c r="S1697" s="12"/>
    </row>
    <row r="1698" spans="1:19" x14ac:dyDescent="0.25">
      <c r="A1698" s="9" t="s">
        <v>1117</v>
      </c>
      <c r="B1698" s="9" t="s">
        <v>291</v>
      </c>
      <c r="C1698" s="4">
        <v>201001612</v>
      </c>
      <c r="D1698" s="4" t="s">
        <v>1326</v>
      </c>
      <c r="E1698" s="4" t="str">
        <f>"031382010"</f>
        <v>031382010</v>
      </c>
      <c r="F1698" s="10">
        <v>40200</v>
      </c>
      <c r="G1698" s="11">
        <v>14</v>
      </c>
      <c r="H1698" s="11">
        <v>0</v>
      </c>
      <c r="I1698" s="4"/>
      <c r="J1698" s="4"/>
      <c r="K1698" s="11">
        <v>0</v>
      </c>
      <c r="L1698" s="4"/>
      <c r="M1698" s="4"/>
      <c r="N1698" s="11">
        <v>14</v>
      </c>
      <c r="O1698" s="4" t="s">
        <v>56</v>
      </c>
      <c r="P1698" s="4" t="s">
        <v>57</v>
      </c>
      <c r="Q1698" s="11">
        <v>0</v>
      </c>
      <c r="R1698" s="4"/>
      <c r="S1698" s="12"/>
    </row>
    <row r="1699" spans="1:19" x14ac:dyDescent="0.25">
      <c r="A1699" s="9" t="s">
        <v>1117</v>
      </c>
      <c r="B1699" s="9" t="s">
        <v>291</v>
      </c>
      <c r="C1699" s="4">
        <v>201001613</v>
      </c>
      <c r="D1699" s="4" t="s">
        <v>1317</v>
      </c>
      <c r="E1699" s="4" t="str">
        <f>"031622010"</f>
        <v>031622010</v>
      </c>
      <c r="F1699" s="10">
        <v>40199</v>
      </c>
      <c r="G1699" s="11">
        <v>9.6</v>
      </c>
      <c r="H1699" s="11">
        <v>0</v>
      </c>
      <c r="I1699" s="4"/>
      <c r="J1699" s="4"/>
      <c r="K1699" s="11">
        <v>0</v>
      </c>
      <c r="L1699" s="4"/>
      <c r="M1699" s="4"/>
      <c r="N1699" s="11">
        <v>9.6</v>
      </c>
      <c r="O1699" s="4" t="s">
        <v>56</v>
      </c>
      <c r="P1699" s="4" t="s">
        <v>57</v>
      </c>
      <c r="Q1699" s="11">
        <v>0</v>
      </c>
      <c r="R1699" s="4"/>
      <c r="S1699" s="12"/>
    </row>
    <row r="1700" spans="1:19" x14ac:dyDescent="0.25">
      <c r="A1700" s="9" t="s">
        <v>1117</v>
      </c>
      <c r="B1700" s="9" t="s">
        <v>291</v>
      </c>
      <c r="C1700" s="4">
        <v>201001614</v>
      </c>
      <c r="D1700" s="4" t="s">
        <v>1338</v>
      </c>
      <c r="E1700" s="4" t="str">
        <f>"031342010"</f>
        <v>031342010</v>
      </c>
      <c r="F1700" s="10">
        <v>40200</v>
      </c>
      <c r="G1700" s="11">
        <v>350</v>
      </c>
      <c r="H1700" s="11">
        <v>0</v>
      </c>
      <c r="I1700" s="4"/>
      <c r="J1700" s="4"/>
      <c r="K1700" s="11">
        <v>0</v>
      </c>
      <c r="L1700" s="4"/>
      <c r="M1700" s="4"/>
      <c r="N1700" s="11">
        <v>350</v>
      </c>
      <c r="O1700" s="4" t="s">
        <v>56</v>
      </c>
      <c r="P1700" s="4" t="s">
        <v>57</v>
      </c>
      <c r="Q1700" s="11">
        <v>0</v>
      </c>
      <c r="R1700" s="4"/>
      <c r="S1700" s="12"/>
    </row>
    <row r="1701" spans="1:19" x14ac:dyDescent="0.25">
      <c r="A1701" s="9" t="s">
        <v>1117</v>
      </c>
      <c r="B1701" s="9" t="s">
        <v>291</v>
      </c>
      <c r="C1701" s="4">
        <v>201001615</v>
      </c>
      <c r="D1701" s="4" t="s">
        <v>1326</v>
      </c>
      <c r="E1701" s="4" t="str">
        <f>"031322010"</f>
        <v>031322010</v>
      </c>
      <c r="F1701" s="10">
        <v>40200</v>
      </c>
      <c r="G1701" s="11">
        <v>23.6</v>
      </c>
      <c r="H1701" s="11">
        <v>0</v>
      </c>
      <c r="I1701" s="4"/>
      <c r="J1701" s="4"/>
      <c r="K1701" s="11">
        <v>0</v>
      </c>
      <c r="L1701" s="4"/>
      <c r="M1701" s="4"/>
      <c r="N1701" s="11">
        <v>23.6</v>
      </c>
      <c r="O1701" s="4" t="s">
        <v>56</v>
      </c>
      <c r="P1701" s="4" t="s">
        <v>57</v>
      </c>
      <c r="Q1701" s="11">
        <v>0</v>
      </c>
      <c r="R1701" s="4"/>
      <c r="S1701" s="12"/>
    </row>
    <row r="1702" spans="1:19" x14ac:dyDescent="0.25">
      <c r="A1702" s="9" t="s">
        <v>1117</v>
      </c>
      <c r="B1702" s="9" t="s">
        <v>291</v>
      </c>
      <c r="C1702" s="4">
        <v>201001633</v>
      </c>
      <c r="D1702" s="4" t="s">
        <v>1339</v>
      </c>
      <c r="E1702" s="4" t="str">
        <f>"032042010"</f>
        <v>032042010</v>
      </c>
      <c r="F1702" s="10">
        <v>40200</v>
      </c>
      <c r="G1702" s="11">
        <v>20.72</v>
      </c>
      <c r="H1702" s="11">
        <v>0</v>
      </c>
      <c r="I1702" s="4"/>
      <c r="J1702" s="4"/>
      <c r="K1702" s="11">
        <v>0</v>
      </c>
      <c r="L1702" s="4"/>
      <c r="M1702" s="4"/>
      <c r="N1702" s="11">
        <v>20.72</v>
      </c>
      <c r="O1702" s="4" t="s">
        <v>56</v>
      </c>
      <c r="P1702" s="4" t="s">
        <v>57</v>
      </c>
      <c r="Q1702" s="11">
        <v>0</v>
      </c>
      <c r="R1702" s="4"/>
      <c r="S1702" s="12"/>
    </row>
    <row r="1703" spans="1:19" x14ac:dyDescent="0.25">
      <c r="A1703" s="9" t="s">
        <v>1117</v>
      </c>
      <c r="B1703" s="9" t="s">
        <v>291</v>
      </c>
      <c r="C1703" s="4">
        <v>201001634</v>
      </c>
      <c r="D1703" s="4" t="s">
        <v>1242</v>
      </c>
      <c r="E1703" s="4" t="str">
        <f>"031522010"</f>
        <v>031522010</v>
      </c>
      <c r="F1703" s="10">
        <v>40198</v>
      </c>
      <c r="G1703" s="11">
        <v>350</v>
      </c>
      <c r="H1703" s="11">
        <v>0</v>
      </c>
      <c r="I1703" s="4"/>
      <c r="J1703" s="4"/>
      <c r="K1703" s="11">
        <v>0</v>
      </c>
      <c r="L1703" s="4"/>
      <c r="M1703" s="4"/>
      <c r="N1703" s="11">
        <v>350</v>
      </c>
      <c r="O1703" s="4" t="s">
        <v>56</v>
      </c>
      <c r="P1703" s="4" t="s">
        <v>57</v>
      </c>
      <c r="Q1703" s="11">
        <v>0</v>
      </c>
      <c r="R1703" s="4"/>
      <c r="S1703" s="12"/>
    </row>
    <row r="1704" spans="1:19" x14ac:dyDescent="0.25">
      <c r="A1704" s="9" t="s">
        <v>1117</v>
      </c>
      <c r="B1704" s="9" t="s">
        <v>291</v>
      </c>
      <c r="C1704" s="4">
        <v>201001635</v>
      </c>
      <c r="D1704" s="4" t="s">
        <v>1326</v>
      </c>
      <c r="E1704" s="4" t="str">
        <f>"031542010"</f>
        <v>031542010</v>
      </c>
      <c r="F1704" s="10">
        <v>40199</v>
      </c>
      <c r="G1704" s="11">
        <v>359.6</v>
      </c>
      <c r="H1704" s="11">
        <v>0</v>
      </c>
      <c r="I1704" s="4"/>
      <c r="J1704" s="4"/>
      <c r="K1704" s="11">
        <v>0</v>
      </c>
      <c r="L1704" s="4"/>
      <c r="M1704" s="4"/>
      <c r="N1704" s="11">
        <v>359.6</v>
      </c>
      <c r="O1704" s="4" t="s">
        <v>56</v>
      </c>
      <c r="P1704" s="4" t="s">
        <v>57</v>
      </c>
      <c r="Q1704" s="11">
        <v>0</v>
      </c>
      <c r="R1704" s="4"/>
      <c r="S1704" s="12"/>
    </row>
    <row r="1705" spans="1:19" x14ac:dyDescent="0.25">
      <c r="A1705" s="9" t="s">
        <v>1117</v>
      </c>
      <c r="B1705" s="9" t="s">
        <v>291</v>
      </c>
      <c r="C1705" s="4">
        <v>201001637</v>
      </c>
      <c r="D1705" s="4" t="s">
        <v>1340</v>
      </c>
      <c r="E1705" s="4" t="str">
        <f>"033422010"</f>
        <v>033422010</v>
      </c>
      <c r="F1705" s="10">
        <v>40203</v>
      </c>
      <c r="G1705" s="11">
        <v>369.98</v>
      </c>
      <c r="H1705" s="11">
        <v>0</v>
      </c>
      <c r="I1705" s="4"/>
      <c r="J1705" s="4"/>
      <c r="K1705" s="11">
        <v>0</v>
      </c>
      <c r="L1705" s="4"/>
      <c r="M1705" s="4"/>
      <c r="N1705" s="11">
        <v>369.98</v>
      </c>
      <c r="O1705" s="4" t="s">
        <v>56</v>
      </c>
      <c r="P1705" s="4" t="s">
        <v>57</v>
      </c>
      <c r="Q1705" s="11">
        <v>0</v>
      </c>
      <c r="R1705" s="4"/>
      <c r="S1705" s="12"/>
    </row>
    <row r="1706" spans="1:19" x14ac:dyDescent="0.25">
      <c r="A1706" s="9" t="s">
        <v>1117</v>
      </c>
      <c r="B1706" s="9" t="s">
        <v>291</v>
      </c>
      <c r="C1706" s="4">
        <v>201001640</v>
      </c>
      <c r="D1706" s="4" t="s">
        <v>1326</v>
      </c>
      <c r="E1706" s="4" t="str">
        <f>"031842010"</f>
        <v>031842010</v>
      </c>
      <c r="F1706" s="10">
        <v>40199</v>
      </c>
      <c r="G1706" s="11">
        <v>59.4</v>
      </c>
      <c r="H1706" s="11">
        <v>0</v>
      </c>
      <c r="I1706" s="4"/>
      <c r="J1706" s="4"/>
      <c r="K1706" s="11">
        <v>0</v>
      </c>
      <c r="L1706" s="4"/>
      <c r="M1706" s="4"/>
      <c r="N1706" s="11">
        <v>59.4</v>
      </c>
      <c r="O1706" s="4" t="s">
        <v>56</v>
      </c>
      <c r="P1706" s="4" t="s">
        <v>57</v>
      </c>
      <c r="Q1706" s="11">
        <v>0</v>
      </c>
      <c r="R1706" s="4"/>
      <c r="S1706" s="12"/>
    </row>
    <row r="1707" spans="1:19" x14ac:dyDescent="0.25">
      <c r="A1707" s="9" t="s">
        <v>1117</v>
      </c>
      <c r="B1707" s="9" t="s">
        <v>291</v>
      </c>
      <c r="C1707" s="4">
        <v>201001641</v>
      </c>
      <c r="D1707" s="4" t="s">
        <v>1223</v>
      </c>
      <c r="E1707" s="4" t="str">
        <f>"032002010"</f>
        <v>032002010</v>
      </c>
      <c r="F1707" s="10">
        <v>40198</v>
      </c>
      <c r="G1707" s="11">
        <v>350</v>
      </c>
      <c r="H1707" s="11">
        <v>0</v>
      </c>
      <c r="I1707" s="4"/>
      <c r="J1707" s="4"/>
      <c r="K1707" s="11">
        <v>0</v>
      </c>
      <c r="L1707" s="4"/>
      <c r="M1707" s="4"/>
      <c r="N1707" s="11">
        <v>350</v>
      </c>
      <c r="O1707" s="4" t="s">
        <v>56</v>
      </c>
      <c r="P1707" s="4" t="s">
        <v>57</v>
      </c>
      <c r="Q1707" s="11">
        <v>0</v>
      </c>
      <c r="R1707" s="4"/>
      <c r="S1707" s="12"/>
    </row>
    <row r="1708" spans="1:19" x14ac:dyDescent="0.25">
      <c r="A1708" s="9" t="s">
        <v>1117</v>
      </c>
      <c r="B1708" s="9" t="s">
        <v>291</v>
      </c>
      <c r="C1708" s="4">
        <v>201001643</v>
      </c>
      <c r="D1708" s="4" t="s">
        <v>1339</v>
      </c>
      <c r="E1708" s="4" t="str">
        <f>"032202010"</f>
        <v>032202010</v>
      </c>
      <c r="F1708" s="10">
        <v>40200</v>
      </c>
      <c r="G1708" s="11">
        <v>11.3</v>
      </c>
      <c r="H1708" s="11">
        <v>0</v>
      </c>
      <c r="I1708" s="4"/>
      <c r="J1708" s="4"/>
      <c r="K1708" s="11">
        <v>0</v>
      </c>
      <c r="L1708" s="4"/>
      <c r="M1708" s="4"/>
      <c r="N1708" s="11">
        <v>11.3</v>
      </c>
      <c r="O1708" s="4" t="s">
        <v>56</v>
      </c>
      <c r="P1708" s="4" t="s">
        <v>57</v>
      </c>
      <c r="Q1708" s="11">
        <v>0</v>
      </c>
      <c r="R1708" s="4"/>
      <c r="S1708" s="12"/>
    </row>
    <row r="1709" spans="1:19" x14ac:dyDescent="0.25">
      <c r="A1709" s="9" t="s">
        <v>1117</v>
      </c>
      <c r="B1709" s="9" t="s">
        <v>291</v>
      </c>
      <c r="C1709" s="4">
        <v>201001645</v>
      </c>
      <c r="D1709" s="4"/>
      <c r="E1709" s="4" t="str">
        <f>"032162010"</f>
        <v>032162010</v>
      </c>
      <c r="F1709" s="10">
        <v>40200</v>
      </c>
      <c r="G1709" s="11">
        <v>9.8000000000000007</v>
      </c>
      <c r="H1709" s="11">
        <v>0</v>
      </c>
      <c r="I1709" s="4"/>
      <c r="J1709" s="4"/>
      <c r="K1709" s="11">
        <v>0</v>
      </c>
      <c r="L1709" s="4"/>
      <c r="M1709" s="4"/>
      <c r="N1709" s="11">
        <v>9.8000000000000007</v>
      </c>
      <c r="O1709" s="4" t="s">
        <v>56</v>
      </c>
      <c r="P1709" s="4" t="s">
        <v>57</v>
      </c>
      <c r="Q1709" s="11">
        <v>0</v>
      </c>
      <c r="R1709" s="4"/>
      <c r="S1709" s="12"/>
    </row>
    <row r="1710" spans="1:19" x14ac:dyDescent="0.25">
      <c r="A1710" s="9" t="s">
        <v>1117</v>
      </c>
      <c r="B1710" s="9" t="s">
        <v>291</v>
      </c>
      <c r="C1710" s="4">
        <v>201001646</v>
      </c>
      <c r="D1710" s="4" t="s">
        <v>1339</v>
      </c>
      <c r="E1710" s="4" t="str">
        <f>"032222010"</f>
        <v>032222010</v>
      </c>
      <c r="F1710" s="10">
        <v>40200</v>
      </c>
      <c r="G1710" s="11">
        <v>17.8</v>
      </c>
      <c r="H1710" s="11">
        <v>0</v>
      </c>
      <c r="I1710" s="4"/>
      <c r="J1710" s="4"/>
      <c r="K1710" s="11">
        <v>0</v>
      </c>
      <c r="L1710" s="4"/>
      <c r="M1710" s="4"/>
      <c r="N1710" s="11">
        <v>17.8</v>
      </c>
      <c r="O1710" s="4" t="s">
        <v>56</v>
      </c>
      <c r="P1710" s="4" t="s">
        <v>57</v>
      </c>
      <c r="Q1710" s="11">
        <v>0</v>
      </c>
      <c r="R1710" s="4"/>
      <c r="S1710" s="12"/>
    </row>
    <row r="1711" spans="1:19" x14ac:dyDescent="0.25">
      <c r="A1711" s="9" t="s">
        <v>1117</v>
      </c>
      <c r="B1711" s="9" t="s">
        <v>291</v>
      </c>
      <c r="C1711" s="4">
        <v>201001650</v>
      </c>
      <c r="D1711" s="4" t="s">
        <v>1341</v>
      </c>
      <c r="E1711" s="4" t="str">
        <f>"031802010"</f>
        <v>031802010</v>
      </c>
      <c r="F1711" s="10">
        <v>40199</v>
      </c>
      <c r="G1711" s="11">
        <v>350</v>
      </c>
      <c r="H1711" s="11">
        <v>0</v>
      </c>
      <c r="I1711" s="4"/>
      <c r="J1711" s="4"/>
      <c r="K1711" s="11">
        <v>0</v>
      </c>
      <c r="L1711" s="4"/>
      <c r="M1711" s="4"/>
      <c r="N1711" s="11">
        <v>350</v>
      </c>
      <c r="O1711" s="4" t="s">
        <v>56</v>
      </c>
      <c r="P1711" s="4" t="s">
        <v>57</v>
      </c>
      <c r="Q1711" s="11">
        <v>0</v>
      </c>
      <c r="R1711" s="4"/>
      <c r="S1711" s="12"/>
    </row>
    <row r="1712" spans="1:19" x14ac:dyDescent="0.25">
      <c r="A1712" s="9" t="s">
        <v>1117</v>
      </c>
      <c r="B1712" s="9" t="s">
        <v>291</v>
      </c>
      <c r="C1712" s="4">
        <v>201001651</v>
      </c>
      <c r="D1712" s="4" t="s">
        <v>1284</v>
      </c>
      <c r="E1712" s="4" t="str">
        <f>"031942010"</f>
        <v>031942010</v>
      </c>
      <c r="F1712" s="10">
        <v>40199</v>
      </c>
      <c r="G1712" s="11">
        <v>367.13</v>
      </c>
      <c r="H1712" s="11">
        <v>0</v>
      </c>
      <c r="I1712" s="4"/>
      <c r="J1712" s="4"/>
      <c r="K1712" s="11">
        <v>0</v>
      </c>
      <c r="L1712" s="4"/>
      <c r="M1712" s="4"/>
      <c r="N1712" s="11">
        <v>367.13</v>
      </c>
      <c r="O1712" s="4" t="s">
        <v>56</v>
      </c>
      <c r="P1712" s="4" t="s">
        <v>57</v>
      </c>
      <c r="Q1712" s="11">
        <v>0</v>
      </c>
      <c r="R1712" s="4"/>
      <c r="S1712" s="12"/>
    </row>
    <row r="1713" spans="1:19" x14ac:dyDescent="0.25">
      <c r="A1713" s="9" t="s">
        <v>1117</v>
      </c>
      <c r="B1713" s="9" t="s">
        <v>291</v>
      </c>
      <c r="C1713" s="4">
        <v>201001666</v>
      </c>
      <c r="D1713" s="4" t="s">
        <v>1342</v>
      </c>
      <c r="E1713" s="4" t="str">
        <f>"032702010"</f>
        <v>032702010</v>
      </c>
      <c r="F1713" s="10">
        <v>40205</v>
      </c>
      <c r="G1713" s="11">
        <v>350</v>
      </c>
      <c r="H1713" s="11">
        <v>0</v>
      </c>
      <c r="I1713" s="4"/>
      <c r="J1713" s="4"/>
      <c r="K1713" s="11">
        <v>0</v>
      </c>
      <c r="L1713" s="4"/>
      <c r="M1713" s="4"/>
      <c r="N1713" s="11">
        <v>350</v>
      </c>
      <c r="O1713" s="4" t="s">
        <v>56</v>
      </c>
      <c r="P1713" s="4" t="s">
        <v>57</v>
      </c>
      <c r="Q1713" s="11">
        <v>0</v>
      </c>
      <c r="R1713" s="4"/>
      <c r="S1713" s="12"/>
    </row>
    <row r="1714" spans="1:19" x14ac:dyDescent="0.25">
      <c r="A1714" s="9" t="s">
        <v>1117</v>
      </c>
      <c r="B1714" s="9" t="s">
        <v>291</v>
      </c>
      <c r="C1714" s="4">
        <v>201001667</v>
      </c>
      <c r="D1714" s="4" t="s">
        <v>1125</v>
      </c>
      <c r="E1714" s="4" t="str">
        <f>"032662010"</f>
        <v>032662010</v>
      </c>
      <c r="F1714" s="10">
        <v>40205</v>
      </c>
      <c r="G1714" s="11">
        <v>350</v>
      </c>
      <c r="H1714" s="11">
        <v>0</v>
      </c>
      <c r="I1714" s="4"/>
      <c r="J1714" s="4"/>
      <c r="K1714" s="11">
        <v>0</v>
      </c>
      <c r="L1714" s="4"/>
      <c r="M1714" s="4"/>
      <c r="N1714" s="11">
        <v>350</v>
      </c>
      <c r="O1714" s="4" t="s">
        <v>56</v>
      </c>
      <c r="P1714" s="4" t="s">
        <v>57</v>
      </c>
      <c r="Q1714" s="11">
        <v>0</v>
      </c>
      <c r="R1714" s="4"/>
      <c r="S1714" s="12"/>
    </row>
    <row r="1715" spans="1:19" x14ac:dyDescent="0.25">
      <c r="A1715" s="9" t="s">
        <v>1117</v>
      </c>
      <c r="B1715" s="9" t="s">
        <v>291</v>
      </c>
      <c r="C1715" s="4">
        <v>201001674</v>
      </c>
      <c r="D1715" s="4" t="s">
        <v>1343</v>
      </c>
      <c r="E1715" s="4" t="str">
        <f>"032482010"</f>
        <v>032482010</v>
      </c>
      <c r="F1715" s="10">
        <v>40200</v>
      </c>
      <c r="G1715" s="11">
        <v>350</v>
      </c>
      <c r="H1715" s="11">
        <v>0</v>
      </c>
      <c r="I1715" s="4"/>
      <c r="J1715" s="4"/>
      <c r="K1715" s="11">
        <v>0</v>
      </c>
      <c r="L1715" s="4"/>
      <c r="M1715" s="4"/>
      <c r="N1715" s="11">
        <v>350</v>
      </c>
      <c r="O1715" s="4" t="s">
        <v>308</v>
      </c>
      <c r="P1715" s="4" t="s">
        <v>309</v>
      </c>
      <c r="Q1715" s="11">
        <v>0</v>
      </c>
      <c r="R1715" s="4"/>
      <c r="S1715" s="12"/>
    </row>
    <row r="1716" spans="1:19" x14ac:dyDescent="0.25">
      <c r="A1716" s="9" t="s">
        <v>1117</v>
      </c>
      <c r="B1716" s="9" t="s">
        <v>291</v>
      </c>
      <c r="C1716" s="4">
        <v>201001689</v>
      </c>
      <c r="D1716" s="4" t="s">
        <v>1344</v>
      </c>
      <c r="E1716" s="4" t="str">
        <f>"033302010"</f>
        <v>033302010</v>
      </c>
      <c r="F1716" s="10">
        <v>40203</v>
      </c>
      <c r="G1716" s="11">
        <v>365.96</v>
      </c>
      <c r="H1716" s="11">
        <v>0</v>
      </c>
      <c r="I1716" s="4"/>
      <c r="J1716" s="4"/>
      <c r="K1716" s="11">
        <v>0</v>
      </c>
      <c r="L1716" s="4"/>
      <c r="M1716" s="4"/>
      <c r="N1716" s="11">
        <v>365.96</v>
      </c>
      <c r="O1716" s="4" t="s">
        <v>56</v>
      </c>
      <c r="P1716" s="4" t="s">
        <v>57</v>
      </c>
      <c r="Q1716" s="11">
        <v>0</v>
      </c>
      <c r="R1716" s="4"/>
      <c r="S1716" s="12"/>
    </row>
    <row r="1717" spans="1:19" x14ac:dyDescent="0.25">
      <c r="A1717" s="9" t="s">
        <v>1117</v>
      </c>
      <c r="B1717" s="9" t="s">
        <v>291</v>
      </c>
      <c r="C1717" s="4">
        <v>201001691</v>
      </c>
      <c r="D1717" s="4" t="s">
        <v>1345</v>
      </c>
      <c r="E1717" s="4" t="str">
        <f>"032842010"</f>
        <v>032842010</v>
      </c>
      <c r="F1717" s="10">
        <v>40200</v>
      </c>
      <c r="G1717" s="11">
        <v>350</v>
      </c>
      <c r="H1717" s="11">
        <v>0</v>
      </c>
      <c r="I1717" s="4"/>
      <c r="J1717" s="4"/>
      <c r="K1717" s="11">
        <v>0</v>
      </c>
      <c r="L1717" s="4"/>
      <c r="M1717" s="4"/>
      <c r="N1717" s="11">
        <v>350</v>
      </c>
      <c r="O1717" s="4" t="s">
        <v>56</v>
      </c>
      <c r="P1717" s="4" t="s">
        <v>57</v>
      </c>
      <c r="Q1717" s="11">
        <v>0</v>
      </c>
      <c r="R1717" s="4"/>
      <c r="S1717" s="12"/>
    </row>
    <row r="1718" spans="1:19" x14ac:dyDescent="0.25">
      <c r="A1718" s="9" t="s">
        <v>1117</v>
      </c>
      <c r="B1718" s="9" t="s">
        <v>291</v>
      </c>
      <c r="C1718" s="4">
        <v>201001692</v>
      </c>
      <c r="D1718" s="4"/>
      <c r="E1718" s="4" t="str">
        <f>"033702010"</f>
        <v>033702010</v>
      </c>
      <c r="F1718" s="10">
        <v>40205</v>
      </c>
      <c r="G1718" s="11">
        <v>350</v>
      </c>
      <c r="H1718" s="11">
        <v>0</v>
      </c>
      <c r="I1718" s="4"/>
      <c r="J1718" s="4"/>
      <c r="K1718" s="11">
        <v>0</v>
      </c>
      <c r="L1718" s="4"/>
      <c r="M1718" s="4"/>
      <c r="N1718" s="11">
        <v>350</v>
      </c>
      <c r="O1718" s="4" t="s">
        <v>56</v>
      </c>
      <c r="P1718" s="4" t="s">
        <v>57</v>
      </c>
      <c r="Q1718" s="11">
        <v>0</v>
      </c>
      <c r="R1718" s="4"/>
      <c r="S1718" s="12"/>
    </row>
    <row r="1719" spans="1:19" x14ac:dyDescent="0.25">
      <c r="A1719" s="9" t="s">
        <v>1117</v>
      </c>
      <c r="B1719" s="9" t="s">
        <v>291</v>
      </c>
      <c r="C1719" s="4">
        <v>201001694</v>
      </c>
      <c r="D1719" s="4"/>
      <c r="E1719" s="4" t="str">
        <f>"033102010"</f>
        <v>033102010</v>
      </c>
      <c r="F1719" s="10">
        <v>40200</v>
      </c>
      <c r="G1719" s="11">
        <v>7</v>
      </c>
      <c r="H1719" s="11">
        <v>0</v>
      </c>
      <c r="I1719" s="4"/>
      <c r="J1719" s="4"/>
      <c r="K1719" s="11">
        <v>0</v>
      </c>
      <c r="L1719" s="4"/>
      <c r="M1719" s="4"/>
      <c r="N1719" s="11">
        <v>7</v>
      </c>
      <c r="O1719" s="4" t="s">
        <v>56</v>
      </c>
      <c r="P1719" s="4" t="s">
        <v>57</v>
      </c>
      <c r="Q1719" s="11">
        <v>0</v>
      </c>
      <c r="R1719" s="4"/>
      <c r="S1719" s="12"/>
    </row>
    <row r="1720" spans="1:19" x14ac:dyDescent="0.25">
      <c r="A1720" s="9" t="s">
        <v>1117</v>
      </c>
      <c r="B1720" s="9" t="s">
        <v>291</v>
      </c>
      <c r="C1720" s="4">
        <v>201001697</v>
      </c>
      <c r="D1720" s="4" t="s">
        <v>1346</v>
      </c>
      <c r="E1720" s="4" t="str">
        <f>"033022010"</f>
        <v>033022010</v>
      </c>
      <c r="F1720" s="10">
        <v>40200</v>
      </c>
      <c r="G1720" s="11">
        <v>350</v>
      </c>
      <c r="H1720" s="11">
        <v>0</v>
      </c>
      <c r="I1720" s="4"/>
      <c r="J1720" s="4"/>
      <c r="K1720" s="11">
        <v>0</v>
      </c>
      <c r="L1720" s="4"/>
      <c r="M1720" s="4"/>
      <c r="N1720" s="11">
        <v>350</v>
      </c>
      <c r="O1720" s="4" t="s">
        <v>56</v>
      </c>
      <c r="P1720" s="4" t="s">
        <v>57</v>
      </c>
      <c r="Q1720" s="11">
        <v>0</v>
      </c>
      <c r="R1720" s="4"/>
      <c r="S1720" s="12"/>
    </row>
    <row r="1721" spans="1:19" x14ac:dyDescent="0.25">
      <c r="A1721" s="9" t="s">
        <v>1117</v>
      </c>
      <c r="B1721" s="9" t="s">
        <v>291</v>
      </c>
      <c r="C1721" s="4">
        <v>201001698</v>
      </c>
      <c r="D1721" s="4" t="s">
        <v>1169</v>
      </c>
      <c r="E1721" s="4" t="str">
        <f>"033202010"</f>
        <v>033202010</v>
      </c>
      <c r="F1721" s="10">
        <v>40203</v>
      </c>
      <c r="G1721" s="11">
        <v>350</v>
      </c>
      <c r="H1721" s="11">
        <v>0</v>
      </c>
      <c r="I1721" s="4"/>
      <c r="J1721" s="4"/>
      <c r="K1721" s="11">
        <v>0</v>
      </c>
      <c r="L1721" s="4"/>
      <c r="M1721" s="4"/>
      <c r="N1721" s="11">
        <v>350</v>
      </c>
      <c r="O1721" s="4" t="s">
        <v>56</v>
      </c>
      <c r="P1721" s="4" t="s">
        <v>57</v>
      </c>
      <c r="Q1721" s="11">
        <v>0</v>
      </c>
      <c r="R1721" s="4"/>
      <c r="S1721" s="12"/>
    </row>
    <row r="1722" spans="1:19" x14ac:dyDescent="0.25">
      <c r="A1722" s="9" t="s">
        <v>1117</v>
      </c>
      <c r="B1722" s="9" t="s">
        <v>291</v>
      </c>
      <c r="C1722" s="4">
        <v>201001734</v>
      </c>
      <c r="D1722" s="4" t="s">
        <v>1347</v>
      </c>
      <c r="E1722" s="4" t="str">
        <f>"036622010"</f>
        <v>036622010</v>
      </c>
      <c r="F1722" s="10">
        <v>40213</v>
      </c>
      <c r="G1722" s="11">
        <v>49.48</v>
      </c>
      <c r="H1722" s="11">
        <v>0</v>
      </c>
      <c r="I1722" s="4"/>
      <c r="J1722" s="4"/>
      <c r="K1722" s="11">
        <v>0</v>
      </c>
      <c r="L1722" s="4"/>
      <c r="M1722" s="4"/>
      <c r="N1722" s="11">
        <v>49.48</v>
      </c>
      <c r="O1722" s="4" t="s">
        <v>56</v>
      </c>
      <c r="P1722" s="4" t="s">
        <v>57</v>
      </c>
      <c r="Q1722" s="11">
        <v>0</v>
      </c>
      <c r="R1722" s="4"/>
      <c r="S1722" s="12"/>
    </row>
    <row r="1723" spans="1:19" x14ac:dyDescent="0.25">
      <c r="A1723" s="9" t="s">
        <v>1117</v>
      </c>
      <c r="B1723" s="9" t="s">
        <v>291</v>
      </c>
      <c r="C1723" s="4">
        <v>201001746</v>
      </c>
      <c r="D1723" s="4" t="s">
        <v>1348</v>
      </c>
      <c r="E1723" s="4" t="str">
        <f>"034062010"</f>
        <v>034062010</v>
      </c>
      <c r="F1723" s="10">
        <v>40205</v>
      </c>
      <c r="G1723" s="11">
        <v>350</v>
      </c>
      <c r="H1723" s="11">
        <v>0</v>
      </c>
      <c r="I1723" s="4"/>
      <c r="J1723" s="4"/>
      <c r="K1723" s="11">
        <v>0</v>
      </c>
      <c r="L1723" s="4"/>
      <c r="M1723" s="4"/>
      <c r="N1723" s="11">
        <v>350</v>
      </c>
      <c r="O1723" s="4" t="s">
        <v>56</v>
      </c>
      <c r="P1723" s="4" t="s">
        <v>57</v>
      </c>
      <c r="Q1723" s="11">
        <v>0</v>
      </c>
      <c r="R1723" s="4"/>
      <c r="S1723" s="12"/>
    </row>
    <row r="1724" spans="1:19" x14ac:dyDescent="0.25">
      <c r="A1724" s="9" t="s">
        <v>1117</v>
      </c>
      <c r="B1724" s="9" t="s">
        <v>1117</v>
      </c>
      <c r="C1724" s="4">
        <v>201001751</v>
      </c>
      <c r="D1724" s="4" t="s">
        <v>1143</v>
      </c>
      <c r="E1724" s="4" t="str">
        <f>"034042010"</f>
        <v>034042010</v>
      </c>
      <c r="F1724" s="10">
        <v>40205</v>
      </c>
      <c r="G1724" s="11">
        <v>30</v>
      </c>
      <c r="H1724" s="11">
        <v>0</v>
      </c>
      <c r="I1724" s="4"/>
      <c r="J1724" s="4"/>
      <c r="K1724" s="11">
        <v>0</v>
      </c>
      <c r="L1724" s="4"/>
      <c r="M1724" s="4"/>
      <c r="N1724" s="11">
        <v>30</v>
      </c>
      <c r="O1724" s="4" t="s">
        <v>56</v>
      </c>
      <c r="P1724" s="4" t="s">
        <v>57</v>
      </c>
      <c r="Q1724" s="11">
        <v>0</v>
      </c>
      <c r="R1724" s="4"/>
      <c r="S1724" s="12"/>
    </row>
    <row r="1725" spans="1:19" x14ac:dyDescent="0.25">
      <c r="A1725" s="9" t="s">
        <v>1117</v>
      </c>
      <c r="B1725" s="9" t="s">
        <v>291</v>
      </c>
      <c r="C1725" s="4">
        <v>201001759</v>
      </c>
      <c r="D1725" s="4"/>
      <c r="E1725" s="4" t="str">
        <f>"035662010"</f>
        <v>035662010</v>
      </c>
      <c r="F1725" s="10">
        <v>40213</v>
      </c>
      <c r="G1725" s="11">
        <v>350</v>
      </c>
      <c r="H1725" s="11">
        <v>0</v>
      </c>
      <c r="I1725" s="4"/>
      <c r="J1725" s="4"/>
      <c r="K1725" s="11">
        <v>0</v>
      </c>
      <c r="L1725" s="4"/>
      <c r="M1725" s="4"/>
      <c r="N1725" s="11">
        <v>350</v>
      </c>
      <c r="O1725" s="4" t="s">
        <v>56</v>
      </c>
      <c r="P1725" s="4" t="s">
        <v>57</v>
      </c>
      <c r="Q1725" s="11">
        <v>0</v>
      </c>
      <c r="R1725" s="4"/>
      <c r="S1725" s="12"/>
    </row>
    <row r="1726" spans="1:19" x14ac:dyDescent="0.25">
      <c r="A1726" s="9" t="s">
        <v>1117</v>
      </c>
      <c r="B1726" s="9" t="s">
        <v>291</v>
      </c>
      <c r="C1726" s="4">
        <v>201001763</v>
      </c>
      <c r="D1726" s="4" t="s">
        <v>1145</v>
      </c>
      <c r="E1726" s="4" t="str">
        <f>"034242010"</f>
        <v>034242010</v>
      </c>
      <c r="F1726" s="10">
        <v>40205</v>
      </c>
      <c r="G1726" s="11">
        <v>350</v>
      </c>
      <c r="H1726" s="11">
        <v>0</v>
      </c>
      <c r="I1726" s="4"/>
      <c r="J1726" s="4"/>
      <c r="K1726" s="11">
        <v>0</v>
      </c>
      <c r="L1726" s="4"/>
      <c r="M1726" s="4"/>
      <c r="N1726" s="11">
        <v>350</v>
      </c>
      <c r="O1726" s="4" t="s">
        <v>56</v>
      </c>
      <c r="P1726" s="4" t="s">
        <v>57</v>
      </c>
      <c r="Q1726" s="11">
        <v>0</v>
      </c>
      <c r="R1726" s="4"/>
      <c r="S1726" s="12"/>
    </row>
    <row r="1727" spans="1:19" x14ac:dyDescent="0.25">
      <c r="A1727" s="9" t="s">
        <v>1117</v>
      </c>
      <c r="B1727" s="9" t="s">
        <v>291</v>
      </c>
      <c r="C1727" s="4">
        <v>201001764</v>
      </c>
      <c r="D1727" s="4" t="s">
        <v>1349</v>
      </c>
      <c r="E1727" s="4" t="str">
        <f>"034322010"</f>
        <v>034322010</v>
      </c>
      <c r="F1727" s="10">
        <v>40212</v>
      </c>
      <c r="G1727" s="11">
        <v>350</v>
      </c>
      <c r="H1727" s="11">
        <v>0</v>
      </c>
      <c r="I1727" s="4"/>
      <c r="J1727" s="4"/>
      <c r="K1727" s="11">
        <v>0</v>
      </c>
      <c r="L1727" s="4"/>
      <c r="M1727" s="4"/>
      <c r="N1727" s="11">
        <v>350</v>
      </c>
      <c r="O1727" s="4" t="s">
        <v>56</v>
      </c>
      <c r="P1727" s="4" t="s">
        <v>57</v>
      </c>
      <c r="Q1727" s="11">
        <v>0</v>
      </c>
      <c r="R1727" s="4"/>
      <c r="S1727" s="12"/>
    </row>
    <row r="1728" spans="1:19" x14ac:dyDescent="0.25">
      <c r="A1728" s="9" t="s">
        <v>1117</v>
      </c>
      <c r="B1728" s="9" t="s">
        <v>291</v>
      </c>
      <c r="C1728" s="4">
        <v>201001765</v>
      </c>
      <c r="D1728" s="4" t="s">
        <v>1348</v>
      </c>
      <c r="E1728" s="4" t="str">
        <f>"034402010"</f>
        <v>034402010</v>
      </c>
      <c r="F1728" s="10">
        <v>40212</v>
      </c>
      <c r="G1728" s="11">
        <v>150</v>
      </c>
      <c r="H1728" s="11">
        <v>0</v>
      </c>
      <c r="I1728" s="4"/>
      <c r="J1728" s="4"/>
      <c r="K1728" s="11">
        <v>0</v>
      </c>
      <c r="L1728" s="4"/>
      <c r="M1728" s="4"/>
      <c r="N1728" s="11">
        <v>150</v>
      </c>
      <c r="O1728" s="4" t="s">
        <v>56</v>
      </c>
      <c r="P1728" s="4" t="s">
        <v>57</v>
      </c>
      <c r="Q1728" s="11">
        <v>0</v>
      </c>
      <c r="R1728" s="4"/>
      <c r="S1728" s="12"/>
    </row>
    <row r="1729" spans="1:19" x14ac:dyDescent="0.25">
      <c r="A1729" s="9" t="s">
        <v>1117</v>
      </c>
      <c r="B1729" s="9" t="s">
        <v>291</v>
      </c>
      <c r="C1729" s="4">
        <v>201001766</v>
      </c>
      <c r="D1729" s="4" t="s">
        <v>355</v>
      </c>
      <c r="E1729" s="4" t="str">
        <f>"034362010"</f>
        <v>034362010</v>
      </c>
      <c r="F1729" s="10">
        <v>40212</v>
      </c>
      <c r="G1729" s="11">
        <v>350</v>
      </c>
      <c r="H1729" s="11">
        <v>0</v>
      </c>
      <c r="I1729" s="4"/>
      <c r="J1729" s="4"/>
      <c r="K1729" s="11">
        <v>0</v>
      </c>
      <c r="L1729" s="4"/>
      <c r="M1729" s="4"/>
      <c r="N1729" s="11">
        <v>350</v>
      </c>
      <c r="O1729" s="4" t="s">
        <v>56</v>
      </c>
      <c r="P1729" s="4" t="s">
        <v>57</v>
      </c>
      <c r="Q1729" s="11">
        <v>0</v>
      </c>
      <c r="R1729" s="4"/>
      <c r="S1729" s="12"/>
    </row>
    <row r="1730" spans="1:19" x14ac:dyDescent="0.25">
      <c r="A1730" s="9" t="s">
        <v>1117</v>
      </c>
      <c r="B1730" s="9" t="s">
        <v>1117</v>
      </c>
      <c r="C1730" s="4">
        <v>201001769</v>
      </c>
      <c r="D1730" s="4" t="s">
        <v>1148</v>
      </c>
      <c r="E1730" s="4" t="str">
        <f>"034342010"</f>
        <v>034342010</v>
      </c>
      <c r="F1730" s="10">
        <v>40212</v>
      </c>
      <c r="G1730" s="11">
        <v>350</v>
      </c>
      <c r="H1730" s="11">
        <v>0</v>
      </c>
      <c r="I1730" s="4"/>
      <c r="J1730" s="4"/>
      <c r="K1730" s="11">
        <v>0</v>
      </c>
      <c r="L1730" s="4"/>
      <c r="M1730" s="4"/>
      <c r="N1730" s="11">
        <v>350</v>
      </c>
      <c r="O1730" s="4" t="s">
        <v>56</v>
      </c>
      <c r="P1730" s="4" t="s">
        <v>57</v>
      </c>
      <c r="Q1730" s="11">
        <v>0</v>
      </c>
      <c r="R1730" s="4"/>
      <c r="S1730" s="12"/>
    </row>
    <row r="1731" spans="1:19" x14ac:dyDescent="0.25">
      <c r="A1731" s="9" t="s">
        <v>1117</v>
      </c>
      <c r="B1731" s="9" t="s">
        <v>291</v>
      </c>
      <c r="C1731" s="4">
        <v>201001770</v>
      </c>
      <c r="D1731" s="4" t="s">
        <v>1350</v>
      </c>
      <c r="E1731" s="4" t="str">
        <f>"034382010"</f>
        <v>034382010</v>
      </c>
      <c r="F1731" s="10">
        <v>40212</v>
      </c>
      <c r="G1731" s="11">
        <v>350</v>
      </c>
      <c r="H1731" s="11">
        <v>0</v>
      </c>
      <c r="I1731" s="4"/>
      <c r="J1731" s="4"/>
      <c r="K1731" s="11">
        <v>0</v>
      </c>
      <c r="L1731" s="4"/>
      <c r="M1731" s="4"/>
      <c r="N1731" s="11">
        <v>350</v>
      </c>
      <c r="O1731" s="4" t="s">
        <v>56</v>
      </c>
      <c r="P1731" s="4" t="s">
        <v>57</v>
      </c>
      <c r="Q1731" s="11">
        <v>0</v>
      </c>
      <c r="R1731" s="4"/>
      <c r="S1731" s="12"/>
    </row>
    <row r="1732" spans="1:19" x14ac:dyDescent="0.25">
      <c r="A1732" s="9" t="s">
        <v>1117</v>
      </c>
      <c r="B1732" s="9" t="s">
        <v>291</v>
      </c>
      <c r="C1732" s="4">
        <v>201001788</v>
      </c>
      <c r="D1732" s="4" t="s">
        <v>1351</v>
      </c>
      <c r="E1732" s="4" t="str">
        <f>"034652010"</f>
        <v>034652010</v>
      </c>
      <c r="F1732" s="10">
        <v>40212</v>
      </c>
      <c r="G1732" s="11">
        <v>350</v>
      </c>
      <c r="H1732" s="11">
        <v>0</v>
      </c>
      <c r="I1732" s="4"/>
      <c r="J1732" s="4"/>
      <c r="K1732" s="11">
        <v>0</v>
      </c>
      <c r="L1732" s="4"/>
      <c r="M1732" s="4"/>
      <c r="N1732" s="11">
        <v>350</v>
      </c>
      <c r="O1732" s="4" t="s">
        <v>56</v>
      </c>
      <c r="P1732" s="4" t="s">
        <v>57</v>
      </c>
      <c r="Q1732" s="11">
        <v>0</v>
      </c>
      <c r="R1732" s="4"/>
      <c r="S1732" s="12"/>
    </row>
    <row r="1733" spans="1:19" x14ac:dyDescent="0.25">
      <c r="A1733" s="9" t="s">
        <v>1117</v>
      </c>
      <c r="B1733" s="9" t="s">
        <v>291</v>
      </c>
      <c r="C1733" s="4">
        <v>201001792</v>
      </c>
      <c r="D1733" s="4" t="s">
        <v>1352</v>
      </c>
      <c r="E1733" s="4" t="str">
        <f>"034712010"</f>
        <v>034712010</v>
      </c>
      <c r="F1733" s="10">
        <v>40212</v>
      </c>
      <c r="G1733" s="11">
        <v>350</v>
      </c>
      <c r="H1733" s="11">
        <v>0</v>
      </c>
      <c r="I1733" s="4"/>
      <c r="J1733" s="4"/>
      <c r="K1733" s="11">
        <v>0</v>
      </c>
      <c r="L1733" s="4"/>
      <c r="M1733" s="4"/>
      <c r="N1733" s="11">
        <v>350</v>
      </c>
      <c r="O1733" s="4" t="s">
        <v>308</v>
      </c>
      <c r="P1733" s="4" t="s">
        <v>309</v>
      </c>
      <c r="Q1733" s="11">
        <v>0</v>
      </c>
      <c r="R1733" s="4"/>
      <c r="S1733" s="12"/>
    </row>
    <row r="1734" spans="1:19" x14ac:dyDescent="0.25">
      <c r="A1734" s="9" t="s">
        <v>1117</v>
      </c>
      <c r="B1734" s="9" t="s">
        <v>1117</v>
      </c>
      <c r="C1734" s="4">
        <v>201001794</v>
      </c>
      <c r="D1734" s="4" t="s">
        <v>1143</v>
      </c>
      <c r="E1734" s="4" t="str">
        <f>"034672010"</f>
        <v>034672010</v>
      </c>
      <c r="F1734" s="10">
        <v>40212</v>
      </c>
      <c r="G1734" s="11">
        <v>360</v>
      </c>
      <c r="H1734" s="11">
        <v>0</v>
      </c>
      <c r="I1734" s="4"/>
      <c r="J1734" s="4"/>
      <c r="K1734" s="11">
        <v>0</v>
      </c>
      <c r="L1734" s="4"/>
      <c r="M1734" s="4"/>
      <c r="N1734" s="11">
        <v>360</v>
      </c>
      <c r="O1734" s="4" t="s">
        <v>308</v>
      </c>
      <c r="P1734" s="4" t="s">
        <v>309</v>
      </c>
      <c r="Q1734" s="11">
        <v>0</v>
      </c>
      <c r="R1734" s="4"/>
      <c r="S1734" s="12"/>
    </row>
    <row r="1735" spans="1:19" x14ac:dyDescent="0.25">
      <c r="A1735" s="9" t="s">
        <v>1117</v>
      </c>
      <c r="B1735" s="9" t="s">
        <v>1117</v>
      </c>
      <c r="C1735" s="4">
        <v>201001798</v>
      </c>
      <c r="D1735" s="4" t="s">
        <v>1145</v>
      </c>
      <c r="E1735" s="4" t="str">
        <f>"034812010"</f>
        <v>034812010</v>
      </c>
      <c r="F1735" s="10">
        <v>40212</v>
      </c>
      <c r="G1735" s="11">
        <v>350</v>
      </c>
      <c r="H1735" s="11">
        <v>0</v>
      </c>
      <c r="I1735" s="4"/>
      <c r="J1735" s="4"/>
      <c r="K1735" s="11">
        <v>0</v>
      </c>
      <c r="L1735" s="4"/>
      <c r="M1735" s="4"/>
      <c r="N1735" s="11">
        <v>350</v>
      </c>
      <c r="O1735" s="4" t="s">
        <v>308</v>
      </c>
      <c r="P1735" s="4" t="s">
        <v>309</v>
      </c>
      <c r="Q1735" s="11">
        <v>0</v>
      </c>
      <c r="R1735" s="4"/>
      <c r="S1735" s="12"/>
    </row>
    <row r="1736" spans="1:19" x14ac:dyDescent="0.25">
      <c r="A1736" s="9" t="s">
        <v>1117</v>
      </c>
      <c r="B1736" s="9" t="s">
        <v>291</v>
      </c>
      <c r="C1736" s="4">
        <v>201001800</v>
      </c>
      <c r="D1736" s="4" t="s">
        <v>1353</v>
      </c>
      <c r="E1736" s="4" t="str">
        <f>"034882010"</f>
        <v>034882010</v>
      </c>
      <c r="F1736" s="10">
        <v>40212</v>
      </c>
      <c r="G1736" s="11">
        <v>447</v>
      </c>
      <c r="H1736" s="11">
        <v>0</v>
      </c>
      <c r="I1736" s="4"/>
      <c r="J1736" s="4"/>
      <c r="K1736" s="11">
        <v>0</v>
      </c>
      <c r="L1736" s="4"/>
      <c r="M1736" s="4"/>
      <c r="N1736" s="11">
        <v>447</v>
      </c>
      <c r="O1736" s="4" t="s">
        <v>308</v>
      </c>
      <c r="P1736" s="4" t="s">
        <v>309</v>
      </c>
      <c r="Q1736" s="11">
        <v>0</v>
      </c>
      <c r="R1736" s="4"/>
      <c r="S1736" s="12"/>
    </row>
    <row r="1737" spans="1:19" x14ac:dyDescent="0.25">
      <c r="A1737" s="9" t="s">
        <v>1117</v>
      </c>
      <c r="B1737" s="9" t="s">
        <v>291</v>
      </c>
      <c r="C1737" s="4">
        <v>201001801</v>
      </c>
      <c r="D1737" s="4" t="s">
        <v>1354</v>
      </c>
      <c r="E1737" s="4" t="str">
        <f>"034962010"</f>
        <v>034962010</v>
      </c>
      <c r="F1737" s="10">
        <v>40212</v>
      </c>
      <c r="G1737" s="11">
        <v>354.4</v>
      </c>
      <c r="H1737" s="11">
        <v>0</v>
      </c>
      <c r="I1737" s="4"/>
      <c r="J1737" s="4"/>
      <c r="K1737" s="11">
        <v>0</v>
      </c>
      <c r="L1737" s="4"/>
      <c r="M1737" s="4"/>
      <c r="N1737" s="11">
        <v>354.4</v>
      </c>
      <c r="O1737" s="4" t="s">
        <v>308</v>
      </c>
      <c r="P1737" s="4" t="s">
        <v>309</v>
      </c>
      <c r="Q1737" s="11">
        <v>0</v>
      </c>
      <c r="R1737" s="4"/>
      <c r="S1737" s="12"/>
    </row>
    <row r="1738" spans="1:19" x14ac:dyDescent="0.25">
      <c r="A1738" s="9" t="s">
        <v>1117</v>
      </c>
      <c r="B1738" s="9" t="s">
        <v>291</v>
      </c>
      <c r="C1738" s="4">
        <v>201001802</v>
      </c>
      <c r="D1738" s="4" t="s">
        <v>1355</v>
      </c>
      <c r="E1738" s="4" t="str">
        <f>"034922010"</f>
        <v>034922010</v>
      </c>
      <c r="F1738" s="10">
        <v>40212</v>
      </c>
      <c r="G1738" s="11">
        <v>350</v>
      </c>
      <c r="H1738" s="11">
        <v>0</v>
      </c>
      <c r="I1738" s="4"/>
      <c r="J1738" s="4"/>
      <c r="K1738" s="11">
        <v>0</v>
      </c>
      <c r="L1738" s="4"/>
      <c r="M1738" s="4"/>
      <c r="N1738" s="11">
        <v>350</v>
      </c>
      <c r="O1738" s="4" t="s">
        <v>56</v>
      </c>
      <c r="P1738" s="4" t="s">
        <v>57</v>
      </c>
      <c r="Q1738" s="11">
        <v>0</v>
      </c>
      <c r="R1738" s="4"/>
      <c r="S1738" s="12"/>
    </row>
    <row r="1739" spans="1:19" x14ac:dyDescent="0.25">
      <c r="A1739" s="9" t="s">
        <v>1117</v>
      </c>
      <c r="B1739" s="9" t="s">
        <v>291</v>
      </c>
      <c r="C1739" s="4">
        <v>201001803</v>
      </c>
      <c r="D1739" s="4" t="s">
        <v>1356</v>
      </c>
      <c r="E1739" s="4" t="str">
        <f>"034942010"</f>
        <v>034942010</v>
      </c>
      <c r="F1739" s="10">
        <v>40212</v>
      </c>
      <c r="G1739" s="11">
        <v>350</v>
      </c>
      <c r="H1739" s="11">
        <v>0</v>
      </c>
      <c r="I1739" s="4"/>
      <c r="J1739" s="4"/>
      <c r="K1739" s="11">
        <v>0</v>
      </c>
      <c r="L1739" s="4"/>
      <c r="M1739" s="4"/>
      <c r="N1739" s="11">
        <v>350</v>
      </c>
      <c r="O1739" s="4" t="s">
        <v>56</v>
      </c>
      <c r="P1739" s="4" t="s">
        <v>57</v>
      </c>
      <c r="Q1739" s="11">
        <v>0</v>
      </c>
      <c r="R1739" s="4"/>
      <c r="S1739" s="12"/>
    </row>
    <row r="1740" spans="1:19" x14ac:dyDescent="0.25">
      <c r="A1740" s="9" t="s">
        <v>1117</v>
      </c>
      <c r="B1740" s="9" t="s">
        <v>291</v>
      </c>
      <c r="C1740" s="4">
        <v>201001811</v>
      </c>
      <c r="D1740" s="4" t="s">
        <v>1357</v>
      </c>
      <c r="E1740" s="4" t="str">
        <f>"035862010"</f>
        <v>035862010</v>
      </c>
      <c r="F1740" s="10">
        <v>40213</v>
      </c>
      <c r="G1740" s="11">
        <v>350</v>
      </c>
      <c r="H1740" s="11">
        <v>0</v>
      </c>
      <c r="I1740" s="4"/>
      <c r="J1740" s="4"/>
      <c r="K1740" s="11">
        <v>0</v>
      </c>
      <c r="L1740" s="4"/>
      <c r="M1740" s="4"/>
      <c r="N1740" s="11">
        <v>350</v>
      </c>
      <c r="O1740" s="4" t="s">
        <v>56</v>
      </c>
      <c r="P1740" s="4" t="s">
        <v>57</v>
      </c>
      <c r="Q1740" s="11">
        <v>0</v>
      </c>
      <c r="R1740" s="4"/>
      <c r="S1740" s="12"/>
    </row>
    <row r="1741" spans="1:19" x14ac:dyDescent="0.25">
      <c r="A1741" s="9" t="s">
        <v>1117</v>
      </c>
      <c r="B1741" s="9" t="s">
        <v>291</v>
      </c>
      <c r="C1741" s="4">
        <v>201001823</v>
      </c>
      <c r="D1741" s="4" t="s">
        <v>1358</v>
      </c>
      <c r="E1741" s="4" t="str">
        <f>"035222010"</f>
        <v>035222010</v>
      </c>
      <c r="F1741" s="10">
        <v>40213</v>
      </c>
      <c r="G1741" s="11">
        <v>318</v>
      </c>
      <c r="H1741" s="11">
        <v>0</v>
      </c>
      <c r="I1741" s="4"/>
      <c r="J1741" s="4"/>
      <c r="K1741" s="11">
        <v>0</v>
      </c>
      <c r="L1741" s="4"/>
      <c r="M1741" s="4"/>
      <c r="N1741" s="11">
        <v>318</v>
      </c>
      <c r="O1741" s="4" t="s">
        <v>308</v>
      </c>
      <c r="P1741" s="4" t="s">
        <v>309</v>
      </c>
      <c r="Q1741" s="11">
        <v>0</v>
      </c>
      <c r="R1741" s="4"/>
      <c r="S1741" s="12"/>
    </row>
    <row r="1742" spans="1:19" x14ac:dyDescent="0.25">
      <c r="A1742" s="9" t="s">
        <v>1117</v>
      </c>
      <c r="B1742" s="9" t="s">
        <v>291</v>
      </c>
      <c r="C1742" s="4">
        <v>201001831</v>
      </c>
      <c r="D1742" s="4" t="s">
        <v>1258</v>
      </c>
      <c r="E1742" s="4" t="str">
        <f>"035342010"</f>
        <v>035342010</v>
      </c>
      <c r="F1742" s="10">
        <v>40213</v>
      </c>
      <c r="G1742" s="11">
        <v>350</v>
      </c>
      <c r="H1742" s="11">
        <v>0</v>
      </c>
      <c r="I1742" s="4"/>
      <c r="J1742" s="4"/>
      <c r="K1742" s="11">
        <v>0</v>
      </c>
      <c r="L1742" s="4"/>
      <c r="M1742" s="4"/>
      <c r="N1742" s="11">
        <v>350</v>
      </c>
      <c r="O1742" s="4" t="s">
        <v>56</v>
      </c>
      <c r="P1742" s="4" t="s">
        <v>57</v>
      </c>
      <c r="Q1742" s="11">
        <v>0</v>
      </c>
      <c r="R1742" s="4"/>
      <c r="S1742" s="12"/>
    </row>
    <row r="1743" spans="1:19" x14ac:dyDescent="0.25">
      <c r="A1743" s="9" t="s">
        <v>1117</v>
      </c>
      <c r="B1743" s="9" t="s">
        <v>291</v>
      </c>
      <c r="C1743" s="4">
        <v>201001833</v>
      </c>
      <c r="D1743" s="4" t="s">
        <v>1359</v>
      </c>
      <c r="E1743" s="4" t="str">
        <f>"035562010"</f>
        <v>035562010</v>
      </c>
      <c r="F1743" s="10">
        <v>40213</v>
      </c>
      <c r="G1743" s="11">
        <v>259.5</v>
      </c>
      <c r="H1743" s="11">
        <v>0</v>
      </c>
      <c r="I1743" s="4"/>
      <c r="J1743" s="4"/>
      <c r="K1743" s="11">
        <v>0</v>
      </c>
      <c r="L1743" s="4"/>
      <c r="M1743" s="4"/>
      <c r="N1743" s="11">
        <v>259.5</v>
      </c>
      <c r="O1743" s="4" t="s">
        <v>56</v>
      </c>
      <c r="P1743" s="4" t="s">
        <v>57</v>
      </c>
      <c r="Q1743" s="11">
        <v>0</v>
      </c>
      <c r="R1743" s="4"/>
      <c r="S1743" s="12"/>
    </row>
    <row r="1744" spans="1:19" x14ac:dyDescent="0.25">
      <c r="A1744" s="9" t="s">
        <v>1117</v>
      </c>
      <c r="B1744" s="9" t="s">
        <v>291</v>
      </c>
      <c r="C1744" s="4">
        <v>201001842</v>
      </c>
      <c r="D1744" s="4" t="s">
        <v>1360</v>
      </c>
      <c r="E1744" s="4" t="str">
        <f>"035302010"</f>
        <v>035302010</v>
      </c>
      <c r="F1744" s="10">
        <v>40213</v>
      </c>
      <c r="G1744" s="11">
        <v>350</v>
      </c>
      <c r="H1744" s="11">
        <v>0</v>
      </c>
      <c r="I1744" s="4"/>
      <c r="J1744" s="4"/>
      <c r="K1744" s="11">
        <v>0</v>
      </c>
      <c r="L1744" s="4"/>
      <c r="M1744" s="4"/>
      <c r="N1744" s="11">
        <v>350</v>
      </c>
      <c r="O1744" s="4" t="s">
        <v>56</v>
      </c>
      <c r="P1744" s="4" t="s">
        <v>57</v>
      </c>
      <c r="Q1744" s="11">
        <v>0</v>
      </c>
      <c r="R1744" s="4"/>
      <c r="S1744" s="12"/>
    </row>
    <row r="1745" spans="1:19" x14ac:dyDescent="0.25">
      <c r="A1745" s="9" t="s">
        <v>1117</v>
      </c>
      <c r="B1745" s="9" t="s">
        <v>1117</v>
      </c>
      <c r="C1745" s="4">
        <v>201001845</v>
      </c>
      <c r="D1745" s="4" t="s">
        <v>1361</v>
      </c>
      <c r="E1745" s="4" t="str">
        <f>"035822010"</f>
        <v>035822010</v>
      </c>
      <c r="F1745" s="10">
        <v>40213</v>
      </c>
      <c r="G1745" s="11">
        <v>350</v>
      </c>
      <c r="H1745" s="11">
        <v>0</v>
      </c>
      <c r="I1745" s="4"/>
      <c r="J1745" s="4"/>
      <c r="K1745" s="11">
        <v>0</v>
      </c>
      <c r="L1745" s="4"/>
      <c r="M1745" s="4"/>
      <c r="N1745" s="11">
        <v>350</v>
      </c>
      <c r="O1745" s="4" t="s">
        <v>56</v>
      </c>
      <c r="P1745" s="4" t="s">
        <v>57</v>
      </c>
      <c r="Q1745" s="11">
        <v>0</v>
      </c>
      <c r="R1745" s="4"/>
      <c r="S1745" s="12"/>
    </row>
    <row r="1746" spans="1:19" x14ac:dyDescent="0.25">
      <c r="A1746" s="9" t="s">
        <v>1117</v>
      </c>
      <c r="B1746" s="9" t="s">
        <v>291</v>
      </c>
      <c r="C1746" s="4">
        <v>201001846</v>
      </c>
      <c r="D1746" s="4" t="s">
        <v>1353</v>
      </c>
      <c r="E1746" s="4" t="str">
        <f>"035722010"</f>
        <v>035722010</v>
      </c>
      <c r="F1746" s="10">
        <v>40213</v>
      </c>
      <c r="G1746" s="11">
        <v>259.07</v>
      </c>
      <c r="H1746" s="11">
        <v>0</v>
      </c>
      <c r="I1746" s="4"/>
      <c r="J1746" s="4"/>
      <c r="K1746" s="11">
        <v>0</v>
      </c>
      <c r="L1746" s="4"/>
      <c r="M1746" s="4"/>
      <c r="N1746" s="11">
        <v>259.07</v>
      </c>
      <c r="O1746" s="4" t="s">
        <v>308</v>
      </c>
      <c r="P1746" s="4" t="s">
        <v>309</v>
      </c>
      <c r="Q1746" s="11">
        <v>0</v>
      </c>
      <c r="R1746" s="4"/>
      <c r="S1746" s="12"/>
    </row>
    <row r="1747" spans="1:19" x14ac:dyDescent="0.25">
      <c r="A1747" s="9" t="s">
        <v>1117</v>
      </c>
      <c r="B1747" s="9" t="s">
        <v>291</v>
      </c>
      <c r="C1747" s="4">
        <v>201001852</v>
      </c>
      <c r="D1747" s="4" t="s">
        <v>1362</v>
      </c>
      <c r="E1747" s="4" t="str">
        <f>"036842010"</f>
        <v>036842010</v>
      </c>
      <c r="F1747" s="10">
        <v>40213</v>
      </c>
      <c r="G1747" s="11">
        <v>367.87</v>
      </c>
      <c r="H1747" s="11">
        <v>0</v>
      </c>
      <c r="I1747" s="4"/>
      <c r="J1747" s="4"/>
      <c r="K1747" s="11">
        <v>0</v>
      </c>
      <c r="L1747" s="4"/>
      <c r="M1747" s="4"/>
      <c r="N1747" s="11">
        <v>367.87</v>
      </c>
      <c r="O1747" s="4" t="s">
        <v>56</v>
      </c>
      <c r="P1747" s="4" t="s">
        <v>57</v>
      </c>
      <c r="Q1747" s="11">
        <v>0</v>
      </c>
      <c r="R1747" s="4"/>
      <c r="S1747" s="12"/>
    </row>
    <row r="1748" spans="1:19" x14ac:dyDescent="0.25">
      <c r="A1748" s="9" t="s">
        <v>1117</v>
      </c>
      <c r="B1748" s="9" t="s">
        <v>291</v>
      </c>
      <c r="C1748" s="4">
        <v>201001868</v>
      </c>
      <c r="D1748" s="4" t="s">
        <v>1363</v>
      </c>
      <c r="E1748" s="4" t="str">
        <f>"039862010"</f>
        <v>039862010</v>
      </c>
      <c r="F1748" s="10">
        <v>40232</v>
      </c>
      <c r="G1748" s="11">
        <v>350</v>
      </c>
      <c r="H1748" s="11">
        <v>0</v>
      </c>
      <c r="I1748" s="4"/>
      <c r="J1748" s="4"/>
      <c r="K1748" s="11">
        <v>0</v>
      </c>
      <c r="L1748" s="4"/>
      <c r="M1748" s="4"/>
      <c r="N1748" s="11">
        <v>350</v>
      </c>
      <c r="O1748" s="4" t="s">
        <v>56</v>
      </c>
      <c r="P1748" s="4" t="s">
        <v>57</v>
      </c>
      <c r="Q1748" s="11">
        <v>0</v>
      </c>
      <c r="R1748" s="4"/>
      <c r="S1748" s="12"/>
    </row>
    <row r="1749" spans="1:19" x14ac:dyDescent="0.25">
      <c r="A1749" s="9" t="s">
        <v>1117</v>
      </c>
      <c r="B1749" s="9" t="s">
        <v>291</v>
      </c>
      <c r="C1749" s="4">
        <v>201001872</v>
      </c>
      <c r="D1749" s="4"/>
      <c r="E1749" s="4" t="str">
        <f>"035762010"</f>
        <v>035762010</v>
      </c>
      <c r="F1749" s="10">
        <v>40213</v>
      </c>
      <c r="G1749" s="11">
        <v>250000</v>
      </c>
      <c r="H1749" s="11">
        <v>250000</v>
      </c>
      <c r="I1749" s="4" t="s">
        <v>72</v>
      </c>
      <c r="J1749" s="4" t="s">
        <v>73</v>
      </c>
      <c r="K1749" s="11">
        <v>0</v>
      </c>
      <c r="L1749" s="4"/>
      <c r="M1749" s="4"/>
      <c r="N1749" s="11">
        <v>0</v>
      </c>
      <c r="O1749" s="4"/>
      <c r="P1749" s="4"/>
      <c r="Q1749" s="11">
        <v>0</v>
      </c>
      <c r="R1749" s="4"/>
      <c r="S1749" s="12"/>
    </row>
    <row r="1750" spans="1:19" x14ac:dyDescent="0.25">
      <c r="A1750" s="9" t="s">
        <v>1117</v>
      </c>
      <c r="B1750" s="9" t="s">
        <v>291</v>
      </c>
      <c r="C1750" s="4">
        <v>201001875</v>
      </c>
      <c r="D1750" s="4" t="s">
        <v>1364</v>
      </c>
      <c r="E1750" s="4" t="str">
        <f>"035742010"</f>
        <v>035742010</v>
      </c>
      <c r="F1750" s="10">
        <v>40213</v>
      </c>
      <c r="G1750" s="11">
        <v>350</v>
      </c>
      <c r="H1750" s="11">
        <v>0</v>
      </c>
      <c r="I1750" s="4"/>
      <c r="J1750" s="4"/>
      <c r="K1750" s="11">
        <v>0</v>
      </c>
      <c r="L1750" s="4"/>
      <c r="M1750" s="4"/>
      <c r="N1750" s="11">
        <v>350</v>
      </c>
      <c r="O1750" s="4" t="s">
        <v>56</v>
      </c>
      <c r="P1750" s="4" t="s">
        <v>57</v>
      </c>
      <c r="Q1750" s="11">
        <v>0</v>
      </c>
      <c r="R1750" s="4"/>
      <c r="S1750" s="12"/>
    </row>
    <row r="1751" spans="1:19" x14ac:dyDescent="0.25">
      <c r="A1751" s="9" t="s">
        <v>1117</v>
      </c>
      <c r="B1751" s="9" t="s">
        <v>291</v>
      </c>
      <c r="C1751" s="4">
        <v>201001883</v>
      </c>
      <c r="D1751" s="4" t="s">
        <v>1318</v>
      </c>
      <c r="E1751" s="4" t="str">
        <f>"038432010"</f>
        <v>038432010</v>
      </c>
      <c r="F1751" s="10">
        <v>40227</v>
      </c>
      <c r="G1751" s="11">
        <v>979</v>
      </c>
      <c r="H1751" s="11">
        <v>0</v>
      </c>
      <c r="I1751" s="4"/>
      <c r="J1751" s="4"/>
      <c r="K1751" s="11">
        <v>0</v>
      </c>
      <c r="L1751" s="4"/>
      <c r="M1751" s="4"/>
      <c r="N1751" s="11">
        <v>979</v>
      </c>
      <c r="O1751" s="4" t="s">
        <v>308</v>
      </c>
      <c r="P1751" s="4" t="s">
        <v>309</v>
      </c>
      <c r="Q1751" s="11">
        <v>0</v>
      </c>
      <c r="R1751" s="4"/>
      <c r="S1751" s="12"/>
    </row>
    <row r="1752" spans="1:19" x14ac:dyDescent="0.25">
      <c r="A1752" s="9" t="s">
        <v>1117</v>
      </c>
      <c r="B1752" s="9" t="s">
        <v>291</v>
      </c>
      <c r="C1752" s="4">
        <v>201001896</v>
      </c>
      <c r="D1752" s="4" t="s">
        <v>1365</v>
      </c>
      <c r="E1752" s="4" t="str">
        <f>"036502010"</f>
        <v>036502010</v>
      </c>
      <c r="F1752" s="10">
        <v>40213</v>
      </c>
      <c r="G1752" s="11">
        <v>350</v>
      </c>
      <c r="H1752" s="11">
        <v>0</v>
      </c>
      <c r="I1752" s="4"/>
      <c r="J1752" s="4"/>
      <c r="K1752" s="11">
        <v>0</v>
      </c>
      <c r="L1752" s="4"/>
      <c r="M1752" s="4"/>
      <c r="N1752" s="11">
        <v>350</v>
      </c>
      <c r="O1752" s="4" t="s">
        <v>56</v>
      </c>
      <c r="P1752" s="4" t="s">
        <v>57</v>
      </c>
      <c r="Q1752" s="11">
        <v>0</v>
      </c>
      <c r="R1752" s="4"/>
      <c r="S1752" s="12"/>
    </row>
    <row r="1753" spans="1:19" x14ac:dyDescent="0.25">
      <c r="A1753" s="9" t="s">
        <v>1117</v>
      </c>
      <c r="B1753" s="9" t="s">
        <v>291</v>
      </c>
      <c r="C1753" s="4">
        <v>201001899</v>
      </c>
      <c r="D1753" s="4" t="s">
        <v>1366</v>
      </c>
      <c r="E1753" s="4" t="str">
        <f>"036522010"</f>
        <v>036522010</v>
      </c>
      <c r="F1753" s="10">
        <v>40213</v>
      </c>
      <c r="G1753" s="11">
        <v>350</v>
      </c>
      <c r="H1753" s="11">
        <v>0</v>
      </c>
      <c r="I1753" s="4"/>
      <c r="J1753" s="4"/>
      <c r="K1753" s="11">
        <v>0</v>
      </c>
      <c r="L1753" s="4"/>
      <c r="M1753" s="4"/>
      <c r="N1753" s="11">
        <v>350</v>
      </c>
      <c r="O1753" s="4" t="s">
        <v>56</v>
      </c>
      <c r="P1753" s="4" t="s">
        <v>57</v>
      </c>
      <c r="Q1753" s="11">
        <v>0</v>
      </c>
      <c r="R1753" s="4"/>
      <c r="S1753" s="12"/>
    </row>
    <row r="1754" spans="1:19" x14ac:dyDescent="0.25">
      <c r="A1754" s="9" t="s">
        <v>1117</v>
      </c>
      <c r="B1754" s="9" t="s">
        <v>291</v>
      </c>
      <c r="C1754" s="4">
        <v>201001900</v>
      </c>
      <c r="D1754" s="4" t="s">
        <v>1212</v>
      </c>
      <c r="E1754" s="4" t="str">
        <f>"036542010"</f>
        <v>036542010</v>
      </c>
      <c r="F1754" s="10">
        <v>40213</v>
      </c>
      <c r="G1754" s="11">
        <v>805</v>
      </c>
      <c r="H1754" s="11">
        <v>0</v>
      </c>
      <c r="I1754" s="4"/>
      <c r="J1754" s="4"/>
      <c r="K1754" s="11">
        <v>0</v>
      </c>
      <c r="L1754" s="4"/>
      <c r="M1754" s="4"/>
      <c r="N1754" s="11">
        <v>805</v>
      </c>
      <c r="O1754" s="4" t="s">
        <v>56</v>
      </c>
      <c r="P1754" s="4" t="s">
        <v>57</v>
      </c>
      <c r="Q1754" s="11">
        <v>0</v>
      </c>
      <c r="R1754" s="4"/>
      <c r="S1754" s="12"/>
    </row>
    <row r="1755" spans="1:19" x14ac:dyDescent="0.25">
      <c r="A1755" s="9" t="s">
        <v>1117</v>
      </c>
      <c r="B1755" s="9" t="s">
        <v>291</v>
      </c>
      <c r="C1755" s="4">
        <v>201001902</v>
      </c>
      <c r="D1755" s="4"/>
      <c r="E1755" s="4" t="str">
        <f>"038522010"</f>
        <v>038522010</v>
      </c>
      <c r="F1755" s="10">
        <v>40227</v>
      </c>
      <c r="G1755" s="11">
        <v>350</v>
      </c>
      <c r="H1755" s="11">
        <v>0</v>
      </c>
      <c r="I1755" s="4"/>
      <c r="J1755" s="4"/>
      <c r="K1755" s="11">
        <v>0</v>
      </c>
      <c r="L1755" s="4"/>
      <c r="M1755" s="4"/>
      <c r="N1755" s="11">
        <v>350</v>
      </c>
      <c r="O1755" s="4" t="s">
        <v>56</v>
      </c>
      <c r="P1755" s="4" t="s">
        <v>57</v>
      </c>
      <c r="Q1755" s="11">
        <v>0</v>
      </c>
      <c r="R1755" s="4"/>
      <c r="S1755" s="12"/>
    </row>
    <row r="1756" spans="1:19" x14ac:dyDescent="0.25">
      <c r="A1756" s="9" t="s">
        <v>1117</v>
      </c>
      <c r="B1756" s="9" t="s">
        <v>291</v>
      </c>
      <c r="C1756" s="4">
        <v>201001912</v>
      </c>
      <c r="D1756" s="4" t="s">
        <v>1367</v>
      </c>
      <c r="E1756" s="4" t="str">
        <f>"037022010"</f>
        <v>037022010</v>
      </c>
      <c r="F1756" s="10">
        <v>40214</v>
      </c>
      <c r="G1756" s="11">
        <v>350</v>
      </c>
      <c r="H1756" s="11">
        <v>0</v>
      </c>
      <c r="I1756" s="4"/>
      <c r="J1756" s="4"/>
      <c r="K1756" s="11">
        <v>0</v>
      </c>
      <c r="L1756" s="4"/>
      <c r="M1756" s="4"/>
      <c r="N1756" s="11">
        <v>350</v>
      </c>
      <c r="O1756" s="4" t="s">
        <v>56</v>
      </c>
      <c r="P1756" s="4" t="s">
        <v>57</v>
      </c>
      <c r="Q1756" s="11">
        <v>0</v>
      </c>
      <c r="R1756" s="4"/>
      <c r="S1756" s="12"/>
    </row>
    <row r="1757" spans="1:19" x14ac:dyDescent="0.25">
      <c r="A1757" s="9" t="s">
        <v>1117</v>
      </c>
      <c r="B1757" s="9" t="s">
        <v>291</v>
      </c>
      <c r="C1757" s="4">
        <v>201001914</v>
      </c>
      <c r="D1757" s="4" t="s">
        <v>1367</v>
      </c>
      <c r="E1757" s="4" t="str">
        <f>"037202010"</f>
        <v>037202010</v>
      </c>
      <c r="F1757" s="10">
        <v>40214</v>
      </c>
      <c r="G1757" s="11">
        <v>357</v>
      </c>
      <c r="H1757" s="11">
        <v>0</v>
      </c>
      <c r="I1757" s="4"/>
      <c r="J1757" s="4"/>
      <c r="K1757" s="11">
        <v>0</v>
      </c>
      <c r="L1757" s="4"/>
      <c r="M1757" s="4"/>
      <c r="N1757" s="11">
        <v>357</v>
      </c>
      <c r="O1757" s="4" t="s">
        <v>56</v>
      </c>
      <c r="P1757" s="4" t="s">
        <v>57</v>
      </c>
      <c r="Q1757" s="11">
        <v>0</v>
      </c>
      <c r="R1757" s="4"/>
      <c r="S1757" s="12"/>
    </row>
    <row r="1758" spans="1:19" x14ac:dyDescent="0.25">
      <c r="A1758" s="9" t="s">
        <v>1117</v>
      </c>
      <c r="B1758" s="9" t="s">
        <v>291</v>
      </c>
      <c r="C1758" s="4">
        <v>201001919</v>
      </c>
      <c r="D1758" s="4" t="s">
        <v>1315</v>
      </c>
      <c r="E1758" s="4" t="str">
        <f>"037282010"</f>
        <v>037282010</v>
      </c>
      <c r="F1758" s="10">
        <v>40214</v>
      </c>
      <c r="G1758" s="11">
        <v>350</v>
      </c>
      <c r="H1758" s="11">
        <v>0</v>
      </c>
      <c r="I1758" s="4"/>
      <c r="J1758" s="4"/>
      <c r="K1758" s="11">
        <v>0</v>
      </c>
      <c r="L1758" s="4"/>
      <c r="M1758" s="4"/>
      <c r="N1758" s="11">
        <v>350</v>
      </c>
      <c r="O1758" s="4" t="s">
        <v>56</v>
      </c>
      <c r="P1758" s="4" t="s">
        <v>57</v>
      </c>
      <c r="Q1758" s="11">
        <v>0</v>
      </c>
      <c r="R1758" s="4"/>
      <c r="S1758" s="12"/>
    </row>
    <row r="1759" spans="1:19" x14ac:dyDescent="0.25">
      <c r="A1759" s="9" t="s">
        <v>1117</v>
      </c>
      <c r="B1759" s="9" t="s">
        <v>291</v>
      </c>
      <c r="C1759" s="4">
        <v>201001921</v>
      </c>
      <c r="D1759" s="4" t="s">
        <v>2534</v>
      </c>
      <c r="E1759" s="4" t="str">
        <f>"037182010"</f>
        <v>037182010</v>
      </c>
      <c r="F1759" s="10">
        <v>40214</v>
      </c>
      <c r="G1759" s="11">
        <v>350</v>
      </c>
      <c r="H1759" s="11">
        <v>0</v>
      </c>
      <c r="I1759" s="4"/>
      <c r="J1759" s="4"/>
      <c r="K1759" s="11">
        <v>350</v>
      </c>
      <c r="L1759" s="4" t="s">
        <v>308</v>
      </c>
      <c r="M1759" s="4" t="s">
        <v>309</v>
      </c>
      <c r="N1759" s="11">
        <v>0</v>
      </c>
      <c r="O1759" s="4"/>
      <c r="P1759" s="4"/>
      <c r="Q1759" s="11">
        <v>0</v>
      </c>
      <c r="R1759" s="4"/>
      <c r="S1759" s="12"/>
    </row>
    <row r="1760" spans="1:19" x14ac:dyDescent="0.25">
      <c r="A1760" s="9" t="s">
        <v>1117</v>
      </c>
      <c r="B1760" s="9" t="s">
        <v>291</v>
      </c>
      <c r="C1760" s="4">
        <v>201001923</v>
      </c>
      <c r="D1760" s="4" t="s">
        <v>1145</v>
      </c>
      <c r="E1760" s="4" t="str">
        <f>"037362010"</f>
        <v>037362010</v>
      </c>
      <c r="F1760" s="10">
        <v>40214</v>
      </c>
      <c r="G1760" s="11">
        <v>350</v>
      </c>
      <c r="H1760" s="11">
        <v>0</v>
      </c>
      <c r="I1760" s="4"/>
      <c r="J1760" s="4"/>
      <c r="K1760" s="11">
        <v>0</v>
      </c>
      <c r="L1760" s="4"/>
      <c r="M1760" s="4"/>
      <c r="N1760" s="11">
        <v>350</v>
      </c>
      <c r="O1760" s="4" t="s">
        <v>56</v>
      </c>
      <c r="P1760" s="4" t="s">
        <v>57</v>
      </c>
      <c r="Q1760" s="11">
        <v>0</v>
      </c>
      <c r="R1760" s="4"/>
      <c r="S1760" s="12"/>
    </row>
    <row r="1761" spans="1:19" x14ac:dyDescent="0.25">
      <c r="A1761" s="9" t="s">
        <v>1117</v>
      </c>
      <c r="B1761" s="9" t="s">
        <v>291</v>
      </c>
      <c r="C1761" s="4">
        <v>201001925</v>
      </c>
      <c r="D1761" s="4" t="s">
        <v>1368</v>
      </c>
      <c r="E1761" s="4" t="str">
        <f>"037342010"</f>
        <v>037342010</v>
      </c>
      <c r="F1761" s="10">
        <v>40214</v>
      </c>
      <c r="G1761" s="11">
        <v>350</v>
      </c>
      <c r="H1761" s="11">
        <v>0</v>
      </c>
      <c r="I1761" s="4"/>
      <c r="J1761" s="4"/>
      <c r="K1761" s="11">
        <v>0</v>
      </c>
      <c r="L1761" s="4"/>
      <c r="M1761" s="4"/>
      <c r="N1761" s="11">
        <v>350</v>
      </c>
      <c r="O1761" s="4" t="s">
        <v>56</v>
      </c>
      <c r="P1761" s="4" t="s">
        <v>57</v>
      </c>
      <c r="Q1761" s="11">
        <v>0</v>
      </c>
      <c r="R1761" s="4"/>
      <c r="S1761" s="12"/>
    </row>
    <row r="1762" spans="1:19" x14ac:dyDescent="0.25">
      <c r="A1762" s="9" t="s">
        <v>1117</v>
      </c>
      <c r="B1762" s="9" t="s">
        <v>291</v>
      </c>
      <c r="C1762" s="4">
        <v>201001926</v>
      </c>
      <c r="D1762" s="4" t="s">
        <v>1318</v>
      </c>
      <c r="E1762" s="4" t="str">
        <f>"037562010"</f>
        <v>037562010</v>
      </c>
      <c r="F1762" s="10">
        <v>40214</v>
      </c>
      <c r="G1762" s="11">
        <v>350</v>
      </c>
      <c r="H1762" s="11">
        <v>0</v>
      </c>
      <c r="I1762" s="4"/>
      <c r="J1762" s="4"/>
      <c r="K1762" s="11">
        <v>0</v>
      </c>
      <c r="L1762" s="4"/>
      <c r="M1762" s="4"/>
      <c r="N1762" s="11">
        <v>350</v>
      </c>
      <c r="O1762" s="4" t="s">
        <v>56</v>
      </c>
      <c r="P1762" s="4" t="s">
        <v>57</v>
      </c>
      <c r="Q1762" s="11">
        <v>0</v>
      </c>
      <c r="R1762" s="4"/>
      <c r="S1762" s="12"/>
    </row>
    <row r="1763" spans="1:19" x14ac:dyDescent="0.25">
      <c r="A1763" s="9" t="s">
        <v>1117</v>
      </c>
      <c r="B1763" s="9" t="s">
        <v>291</v>
      </c>
      <c r="C1763" s="4">
        <v>201001927</v>
      </c>
      <c r="D1763" s="4" t="s">
        <v>1369</v>
      </c>
      <c r="E1763" s="4" t="str">
        <f>"037512010"</f>
        <v>037512010</v>
      </c>
      <c r="F1763" s="10">
        <v>40214</v>
      </c>
      <c r="G1763" s="11">
        <v>7</v>
      </c>
      <c r="H1763" s="11">
        <v>0</v>
      </c>
      <c r="I1763" s="4"/>
      <c r="J1763" s="4"/>
      <c r="K1763" s="11">
        <v>0</v>
      </c>
      <c r="L1763" s="4"/>
      <c r="M1763" s="4"/>
      <c r="N1763" s="11">
        <v>7</v>
      </c>
      <c r="O1763" s="4" t="s">
        <v>56</v>
      </c>
      <c r="P1763" s="4" t="s">
        <v>57</v>
      </c>
      <c r="Q1763" s="11">
        <v>0</v>
      </c>
      <c r="R1763" s="4"/>
      <c r="S1763" s="12"/>
    </row>
    <row r="1764" spans="1:19" x14ac:dyDescent="0.25">
      <c r="A1764" s="9" t="s">
        <v>1117</v>
      </c>
      <c r="B1764" s="9" t="s">
        <v>291</v>
      </c>
      <c r="C1764" s="4">
        <v>201001928</v>
      </c>
      <c r="D1764" s="4" t="s">
        <v>1157</v>
      </c>
      <c r="E1764" s="4" t="str">
        <f>"037382010"</f>
        <v>037382010</v>
      </c>
      <c r="F1764" s="10">
        <v>40214</v>
      </c>
      <c r="G1764" s="11">
        <v>350</v>
      </c>
      <c r="H1764" s="11">
        <v>0</v>
      </c>
      <c r="I1764" s="4"/>
      <c r="J1764" s="4"/>
      <c r="K1764" s="11">
        <v>0</v>
      </c>
      <c r="L1764" s="4"/>
      <c r="M1764" s="4"/>
      <c r="N1764" s="11">
        <v>350</v>
      </c>
      <c r="O1764" s="4" t="s">
        <v>56</v>
      </c>
      <c r="P1764" s="4" t="s">
        <v>57</v>
      </c>
      <c r="Q1764" s="11">
        <v>0</v>
      </c>
      <c r="R1764" s="4"/>
      <c r="S1764" s="12"/>
    </row>
    <row r="1765" spans="1:19" x14ac:dyDescent="0.25">
      <c r="A1765" s="9" t="s">
        <v>1117</v>
      </c>
      <c r="B1765" s="9" t="s">
        <v>291</v>
      </c>
      <c r="C1765" s="4">
        <v>201001930</v>
      </c>
      <c r="D1765" s="4" t="s">
        <v>1201</v>
      </c>
      <c r="E1765" s="4" t="str">
        <f>"037542010"</f>
        <v>037542010</v>
      </c>
      <c r="F1765" s="10">
        <v>40214</v>
      </c>
      <c r="G1765" s="11">
        <v>350</v>
      </c>
      <c r="H1765" s="11">
        <v>0</v>
      </c>
      <c r="I1765" s="4"/>
      <c r="J1765" s="4"/>
      <c r="K1765" s="11">
        <v>0</v>
      </c>
      <c r="L1765" s="4"/>
      <c r="M1765" s="4"/>
      <c r="N1765" s="11">
        <v>350</v>
      </c>
      <c r="O1765" s="4" t="s">
        <v>56</v>
      </c>
      <c r="P1765" s="4" t="s">
        <v>57</v>
      </c>
      <c r="Q1765" s="11">
        <v>0</v>
      </c>
      <c r="R1765" s="4"/>
      <c r="S1765" s="12"/>
    </row>
    <row r="1766" spans="1:19" x14ac:dyDescent="0.25">
      <c r="A1766" s="9" t="s">
        <v>1117</v>
      </c>
      <c r="B1766" s="9" t="s">
        <v>291</v>
      </c>
      <c r="C1766" s="4">
        <v>201001936</v>
      </c>
      <c r="D1766" s="4" t="s">
        <v>1145</v>
      </c>
      <c r="E1766" s="4" t="str">
        <f>"037822010"</f>
        <v>037822010</v>
      </c>
      <c r="F1766" s="10">
        <v>40226</v>
      </c>
      <c r="G1766" s="11">
        <v>350</v>
      </c>
      <c r="H1766" s="11">
        <v>0</v>
      </c>
      <c r="I1766" s="4"/>
      <c r="J1766" s="4"/>
      <c r="K1766" s="11">
        <v>0</v>
      </c>
      <c r="L1766" s="4"/>
      <c r="M1766" s="4"/>
      <c r="N1766" s="11">
        <v>350</v>
      </c>
      <c r="O1766" s="4" t="s">
        <v>56</v>
      </c>
      <c r="P1766" s="4" t="s">
        <v>57</v>
      </c>
      <c r="Q1766" s="11">
        <v>0</v>
      </c>
      <c r="R1766" s="4"/>
      <c r="S1766" s="12"/>
    </row>
    <row r="1767" spans="1:19" x14ac:dyDescent="0.25">
      <c r="A1767" s="9" t="s">
        <v>1117</v>
      </c>
      <c r="B1767" s="9" t="s">
        <v>291</v>
      </c>
      <c r="C1767" s="4">
        <v>201001939</v>
      </c>
      <c r="D1767" s="4" t="s">
        <v>1370</v>
      </c>
      <c r="E1767" s="4" t="str">
        <f>"037852010"</f>
        <v>037852010</v>
      </c>
      <c r="F1767" s="10">
        <v>40226</v>
      </c>
      <c r="G1767" s="11">
        <v>350</v>
      </c>
      <c r="H1767" s="11">
        <v>0</v>
      </c>
      <c r="I1767" s="4"/>
      <c r="J1767" s="4"/>
      <c r="K1767" s="11">
        <v>0</v>
      </c>
      <c r="L1767" s="4"/>
      <c r="M1767" s="4"/>
      <c r="N1767" s="11">
        <v>350</v>
      </c>
      <c r="O1767" s="4" t="s">
        <v>56</v>
      </c>
      <c r="P1767" s="4" t="s">
        <v>57</v>
      </c>
      <c r="Q1767" s="11">
        <v>0</v>
      </c>
      <c r="R1767" s="4"/>
      <c r="S1767" s="12"/>
    </row>
    <row r="1768" spans="1:19" x14ac:dyDescent="0.25">
      <c r="A1768" s="9" t="s">
        <v>1117</v>
      </c>
      <c r="B1768" s="9" t="s">
        <v>291</v>
      </c>
      <c r="C1768" s="4">
        <v>201001942</v>
      </c>
      <c r="D1768" s="4"/>
      <c r="E1768" s="4" t="str">
        <f>"038862010"</f>
        <v>038862010</v>
      </c>
      <c r="F1768" s="10">
        <v>40228</v>
      </c>
      <c r="G1768" s="11">
        <v>406.14</v>
      </c>
      <c r="H1768" s="11">
        <v>0</v>
      </c>
      <c r="I1768" s="4"/>
      <c r="J1768" s="4"/>
      <c r="K1768" s="11">
        <v>0</v>
      </c>
      <c r="L1768" s="4"/>
      <c r="M1768" s="4"/>
      <c r="N1768" s="11">
        <v>406.14</v>
      </c>
      <c r="O1768" s="4" t="s">
        <v>56</v>
      </c>
      <c r="P1768" s="4" t="s">
        <v>57</v>
      </c>
      <c r="Q1768" s="11">
        <v>0</v>
      </c>
      <c r="R1768" s="4"/>
      <c r="S1768" s="12"/>
    </row>
    <row r="1769" spans="1:19" x14ac:dyDescent="0.25">
      <c r="A1769" s="9" t="s">
        <v>1117</v>
      </c>
      <c r="B1769" s="9" t="s">
        <v>291</v>
      </c>
      <c r="C1769" s="4">
        <v>201001964</v>
      </c>
      <c r="D1769" s="4" t="s">
        <v>1371</v>
      </c>
      <c r="E1769" s="4" t="str">
        <f>"038782010"</f>
        <v>038782010</v>
      </c>
      <c r="F1769" s="10">
        <v>40228</v>
      </c>
      <c r="G1769" s="11">
        <v>350</v>
      </c>
      <c r="H1769" s="11">
        <v>0</v>
      </c>
      <c r="I1769" s="4"/>
      <c r="J1769" s="4"/>
      <c r="K1769" s="11">
        <v>0</v>
      </c>
      <c r="L1769" s="4"/>
      <c r="M1769" s="4"/>
      <c r="N1769" s="11">
        <v>350</v>
      </c>
      <c r="O1769" s="4" t="s">
        <v>56</v>
      </c>
      <c r="P1769" s="4" t="s">
        <v>57</v>
      </c>
      <c r="Q1769" s="11">
        <v>0</v>
      </c>
      <c r="R1769" s="4"/>
      <c r="S1769" s="12"/>
    </row>
    <row r="1770" spans="1:19" x14ac:dyDescent="0.25">
      <c r="A1770" s="9" t="s">
        <v>1117</v>
      </c>
      <c r="B1770" s="9" t="s">
        <v>291</v>
      </c>
      <c r="C1770" s="4">
        <v>201001968</v>
      </c>
      <c r="D1770" s="4" t="s">
        <v>1320</v>
      </c>
      <c r="E1770" s="4" t="str">
        <f>"038562010"</f>
        <v>038562010</v>
      </c>
      <c r="F1770" s="10">
        <v>40227</v>
      </c>
      <c r="G1770" s="11">
        <v>350</v>
      </c>
      <c r="H1770" s="11">
        <v>0</v>
      </c>
      <c r="I1770" s="4"/>
      <c r="J1770" s="4"/>
      <c r="K1770" s="11">
        <v>0</v>
      </c>
      <c r="L1770" s="4"/>
      <c r="M1770" s="4"/>
      <c r="N1770" s="11">
        <v>350</v>
      </c>
      <c r="O1770" s="4" t="s">
        <v>56</v>
      </c>
      <c r="P1770" s="4" t="s">
        <v>57</v>
      </c>
      <c r="Q1770" s="11">
        <v>0</v>
      </c>
      <c r="R1770" s="4"/>
      <c r="S1770" s="12"/>
    </row>
    <row r="1771" spans="1:19" x14ac:dyDescent="0.25">
      <c r="A1771" s="9" t="s">
        <v>1117</v>
      </c>
      <c r="B1771" s="9" t="s">
        <v>291</v>
      </c>
      <c r="C1771" s="4">
        <v>201001970</v>
      </c>
      <c r="D1771" s="4" t="s">
        <v>1192</v>
      </c>
      <c r="E1771" s="4" t="str">
        <f>"038722010"</f>
        <v>038722010</v>
      </c>
      <c r="F1771" s="10">
        <v>40227</v>
      </c>
      <c r="G1771" s="11">
        <v>385.64</v>
      </c>
      <c r="H1771" s="11">
        <v>0</v>
      </c>
      <c r="I1771" s="4"/>
      <c r="J1771" s="4"/>
      <c r="K1771" s="11">
        <v>0</v>
      </c>
      <c r="L1771" s="4"/>
      <c r="M1771" s="4"/>
      <c r="N1771" s="11">
        <v>385.64</v>
      </c>
      <c r="O1771" s="4" t="s">
        <v>56</v>
      </c>
      <c r="P1771" s="4" t="s">
        <v>57</v>
      </c>
      <c r="Q1771" s="11">
        <v>0</v>
      </c>
      <c r="R1771" s="4"/>
      <c r="S1771" s="12"/>
    </row>
    <row r="1772" spans="1:19" x14ac:dyDescent="0.25">
      <c r="A1772" s="9" t="s">
        <v>1117</v>
      </c>
      <c r="B1772" s="9" t="s">
        <v>291</v>
      </c>
      <c r="C1772" s="4">
        <v>201001980</v>
      </c>
      <c r="D1772" s="4" t="s">
        <v>1372</v>
      </c>
      <c r="E1772" s="4" t="str">
        <f>"038702010"</f>
        <v>038702010</v>
      </c>
      <c r="F1772" s="10">
        <v>40227</v>
      </c>
      <c r="G1772" s="11">
        <v>429.6</v>
      </c>
      <c r="H1772" s="11">
        <v>0</v>
      </c>
      <c r="I1772" s="4"/>
      <c r="J1772" s="4"/>
      <c r="K1772" s="11">
        <v>0</v>
      </c>
      <c r="L1772" s="4"/>
      <c r="M1772" s="4"/>
      <c r="N1772" s="11">
        <v>429.6</v>
      </c>
      <c r="O1772" s="4" t="s">
        <v>308</v>
      </c>
      <c r="P1772" s="4" t="s">
        <v>309</v>
      </c>
      <c r="Q1772" s="11">
        <v>0</v>
      </c>
      <c r="R1772" s="4"/>
      <c r="S1772" s="12"/>
    </row>
    <row r="1773" spans="1:19" x14ac:dyDescent="0.25">
      <c r="A1773" s="9" t="s">
        <v>1117</v>
      </c>
      <c r="B1773" s="9" t="s">
        <v>291</v>
      </c>
      <c r="C1773" s="4">
        <v>201002002</v>
      </c>
      <c r="D1773" s="4" t="s">
        <v>1373</v>
      </c>
      <c r="E1773" s="4" t="str">
        <f>"039562010"</f>
        <v>039562010</v>
      </c>
      <c r="F1773" s="10">
        <v>40232</v>
      </c>
      <c r="G1773" s="11">
        <v>859.87</v>
      </c>
      <c r="H1773" s="11">
        <v>0</v>
      </c>
      <c r="I1773" s="4"/>
      <c r="J1773" s="4"/>
      <c r="K1773" s="11">
        <v>0</v>
      </c>
      <c r="L1773" s="4"/>
      <c r="M1773" s="4"/>
      <c r="N1773" s="11">
        <v>859.87</v>
      </c>
      <c r="O1773" s="4" t="s">
        <v>56</v>
      </c>
      <c r="P1773" s="4" t="s">
        <v>57</v>
      </c>
      <c r="Q1773" s="11">
        <v>0</v>
      </c>
      <c r="R1773" s="4"/>
      <c r="S1773" s="12"/>
    </row>
    <row r="1774" spans="1:19" x14ac:dyDescent="0.25">
      <c r="A1774" s="9" t="s">
        <v>1117</v>
      </c>
      <c r="B1774" s="9" t="s">
        <v>291</v>
      </c>
      <c r="C1774" s="4">
        <v>201002007</v>
      </c>
      <c r="D1774" s="4" t="s">
        <v>1374</v>
      </c>
      <c r="E1774" s="4" t="str">
        <f>"039262010"</f>
        <v>039262010</v>
      </c>
      <c r="F1774" s="10">
        <v>40228</v>
      </c>
      <c r="G1774" s="11">
        <v>70.400000000000006</v>
      </c>
      <c r="H1774" s="11">
        <v>0</v>
      </c>
      <c r="I1774" s="4"/>
      <c r="J1774" s="4"/>
      <c r="K1774" s="11">
        <v>0</v>
      </c>
      <c r="L1774" s="4"/>
      <c r="M1774" s="4"/>
      <c r="N1774" s="11">
        <v>70.400000000000006</v>
      </c>
      <c r="O1774" s="4" t="s">
        <v>56</v>
      </c>
      <c r="P1774" s="4" t="s">
        <v>57</v>
      </c>
      <c r="Q1774" s="11">
        <v>0</v>
      </c>
      <c r="R1774" s="4"/>
      <c r="S1774" s="12"/>
    </row>
    <row r="1775" spans="1:19" x14ac:dyDescent="0.25">
      <c r="A1775" s="9" t="s">
        <v>1117</v>
      </c>
      <c r="B1775" s="9" t="s">
        <v>291</v>
      </c>
      <c r="C1775" s="4">
        <v>201002008</v>
      </c>
      <c r="D1775" s="4" t="s">
        <v>1375</v>
      </c>
      <c r="E1775" s="4" t="str">
        <f>"040242010"</f>
        <v>040242010</v>
      </c>
      <c r="F1775" s="10">
        <v>40232</v>
      </c>
      <c r="G1775" s="11">
        <v>61</v>
      </c>
      <c r="H1775" s="11">
        <v>0</v>
      </c>
      <c r="I1775" s="4"/>
      <c r="J1775" s="4"/>
      <c r="K1775" s="11">
        <v>0</v>
      </c>
      <c r="L1775" s="4"/>
      <c r="M1775" s="4"/>
      <c r="N1775" s="11">
        <v>61</v>
      </c>
      <c r="O1775" s="4" t="s">
        <v>56</v>
      </c>
      <c r="P1775" s="4" t="s">
        <v>57</v>
      </c>
      <c r="Q1775" s="11">
        <v>0</v>
      </c>
      <c r="R1775" s="4"/>
      <c r="S1775" s="12"/>
    </row>
    <row r="1776" spans="1:19" x14ac:dyDescent="0.25">
      <c r="A1776" s="9" t="s">
        <v>1117</v>
      </c>
      <c r="B1776" s="9" t="s">
        <v>291</v>
      </c>
      <c r="C1776" s="4">
        <v>201002011</v>
      </c>
      <c r="D1776" s="4" t="s">
        <v>1376</v>
      </c>
      <c r="E1776" s="4" t="str">
        <f>"039402010"</f>
        <v>039402010</v>
      </c>
      <c r="F1776" s="10">
        <v>40232</v>
      </c>
      <c r="G1776" s="11">
        <v>0</v>
      </c>
      <c r="H1776" s="11">
        <v>0</v>
      </c>
      <c r="I1776" s="4"/>
      <c r="J1776" s="4"/>
      <c r="K1776" s="11">
        <v>0</v>
      </c>
      <c r="L1776" s="4"/>
      <c r="M1776" s="4"/>
      <c r="N1776" s="11">
        <v>350</v>
      </c>
      <c r="O1776" s="4" t="s">
        <v>56</v>
      </c>
      <c r="P1776" s="4" t="s">
        <v>57</v>
      </c>
      <c r="Q1776" s="11">
        <v>0</v>
      </c>
      <c r="R1776" s="4"/>
      <c r="S1776" s="12"/>
    </row>
    <row r="1777" spans="1:19" x14ac:dyDescent="0.25">
      <c r="A1777" s="9" t="s">
        <v>1117</v>
      </c>
      <c r="B1777" s="9" t="s">
        <v>291</v>
      </c>
      <c r="C1777" s="4">
        <v>201002012</v>
      </c>
      <c r="D1777" s="4" t="s">
        <v>1377</v>
      </c>
      <c r="E1777" s="4" t="str">
        <f>"039342010"</f>
        <v>039342010</v>
      </c>
      <c r="F1777" s="10">
        <v>40232</v>
      </c>
      <c r="G1777" s="11">
        <v>366.47</v>
      </c>
      <c r="H1777" s="11">
        <v>0</v>
      </c>
      <c r="I1777" s="4"/>
      <c r="J1777" s="4"/>
      <c r="K1777" s="11">
        <v>0</v>
      </c>
      <c r="L1777" s="4"/>
      <c r="M1777" s="4"/>
      <c r="N1777" s="11">
        <v>366.47</v>
      </c>
      <c r="O1777" s="4" t="s">
        <v>56</v>
      </c>
      <c r="P1777" s="4" t="s">
        <v>57</v>
      </c>
      <c r="Q1777" s="11">
        <v>0</v>
      </c>
      <c r="R1777" s="4"/>
      <c r="S1777" s="12"/>
    </row>
    <row r="1778" spans="1:19" x14ac:dyDescent="0.25">
      <c r="A1778" s="9" t="s">
        <v>1117</v>
      </c>
      <c r="B1778" s="9" t="s">
        <v>291</v>
      </c>
      <c r="C1778" s="4">
        <v>201002013</v>
      </c>
      <c r="D1778" s="4" t="s">
        <v>1378</v>
      </c>
      <c r="E1778" s="4" t="str">
        <f>"041742010"</f>
        <v>041742010</v>
      </c>
      <c r="F1778" s="10">
        <v>40241</v>
      </c>
      <c r="G1778" s="11">
        <v>389.7</v>
      </c>
      <c r="H1778" s="11">
        <v>0</v>
      </c>
      <c r="I1778" s="4"/>
      <c r="J1778" s="4"/>
      <c r="K1778" s="11">
        <v>0</v>
      </c>
      <c r="L1778" s="4"/>
      <c r="M1778" s="4"/>
      <c r="N1778" s="11">
        <v>389.7</v>
      </c>
      <c r="O1778" s="4" t="s">
        <v>56</v>
      </c>
      <c r="P1778" s="4" t="s">
        <v>57</v>
      </c>
      <c r="Q1778" s="11">
        <v>0</v>
      </c>
      <c r="R1778" s="4"/>
      <c r="S1778" s="12"/>
    </row>
    <row r="1779" spans="1:19" x14ac:dyDescent="0.25">
      <c r="A1779" s="9" t="s">
        <v>1117</v>
      </c>
      <c r="B1779" s="9" t="s">
        <v>291</v>
      </c>
      <c r="C1779" s="4">
        <v>201002018</v>
      </c>
      <c r="D1779" s="4" t="s">
        <v>1379</v>
      </c>
      <c r="E1779" s="4" t="str">
        <f>"043012010"</f>
        <v>043012010</v>
      </c>
      <c r="F1779" s="10">
        <v>40240</v>
      </c>
      <c r="G1779" s="11">
        <v>0</v>
      </c>
      <c r="H1779" s="11">
        <v>0</v>
      </c>
      <c r="I1779" s="4"/>
      <c r="J1779" s="4"/>
      <c r="K1779" s="11">
        <v>0</v>
      </c>
      <c r="L1779" s="4"/>
      <c r="M1779" s="4"/>
      <c r="N1779" s="11">
        <v>1126</v>
      </c>
      <c r="O1779" s="4" t="s">
        <v>56</v>
      </c>
      <c r="P1779" s="4" t="s">
        <v>57</v>
      </c>
      <c r="Q1779" s="11">
        <v>0</v>
      </c>
      <c r="R1779" s="4"/>
      <c r="S1779" s="12"/>
    </row>
    <row r="1780" spans="1:19" x14ac:dyDescent="0.25">
      <c r="A1780" s="9" t="s">
        <v>1117</v>
      </c>
      <c r="B1780" s="9" t="s">
        <v>291</v>
      </c>
      <c r="C1780" s="4">
        <v>201002021</v>
      </c>
      <c r="D1780" s="4" t="s">
        <v>1380</v>
      </c>
      <c r="E1780" s="4" t="str">
        <f>"042252010"</f>
        <v>042252010</v>
      </c>
      <c r="F1780" s="10">
        <v>40246</v>
      </c>
      <c r="G1780" s="11">
        <v>350</v>
      </c>
      <c r="H1780" s="11">
        <v>0</v>
      </c>
      <c r="I1780" s="4"/>
      <c r="J1780" s="4"/>
      <c r="K1780" s="11">
        <v>0</v>
      </c>
      <c r="L1780" s="4"/>
      <c r="M1780" s="4"/>
      <c r="N1780" s="11">
        <v>350</v>
      </c>
      <c r="O1780" s="4" t="s">
        <v>56</v>
      </c>
      <c r="P1780" s="4" t="s">
        <v>57</v>
      </c>
      <c r="Q1780" s="11">
        <v>0</v>
      </c>
      <c r="R1780" s="4"/>
      <c r="S1780" s="12"/>
    </row>
    <row r="1781" spans="1:19" x14ac:dyDescent="0.25">
      <c r="A1781" s="9" t="s">
        <v>1117</v>
      </c>
      <c r="B1781" s="9" t="s">
        <v>291</v>
      </c>
      <c r="C1781" s="4">
        <v>201002027</v>
      </c>
      <c r="D1781" s="4" t="s">
        <v>1201</v>
      </c>
      <c r="E1781" s="4" t="str">
        <f>"040822010"</f>
        <v>040822010</v>
      </c>
      <c r="F1781" s="10">
        <v>40234</v>
      </c>
      <c r="G1781" s="11">
        <v>350</v>
      </c>
      <c r="H1781" s="11">
        <v>0</v>
      </c>
      <c r="I1781" s="4"/>
      <c r="J1781" s="4"/>
      <c r="K1781" s="11">
        <v>0</v>
      </c>
      <c r="L1781" s="4"/>
      <c r="M1781" s="4"/>
      <c r="N1781" s="11">
        <v>350</v>
      </c>
      <c r="O1781" s="4" t="s">
        <v>56</v>
      </c>
      <c r="P1781" s="4" t="s">
        <v>57</v>
      </c>
      <c r="Q1781" s="11">
        <v>0</v>
      </c>
      <c r="R1781" s="4"/>
      <c r="S1781" s="12"/>
    </row>
    <row r="1782" spans="1:19" x14ac:dyDescent="0.25">
      <c r="A1782" s="9" t="s">
        <v>1117</v>
      </c>
      <c r="B1782" s="9" t="s">
        <v>291</v>
      </c>
      <c r="C1782" s="4">
        <v>201002035</v>
      </c>
      <c r="D1782" s="4" t="s">
        <v>1133</v>
      </c>
      <c r="E1782" s="4" t="str">
        <f>"040182010"</f>
        <v>040182010</v>
      </c>
      <c r="F1782" s="10">
        <v>40232</v>
      </c>
      <c r="G1782" s="11">
        <v>259.3</v>
      </c>
      <c r="H1782" s="11">
        <v>0</v>
      </c>
      <c r="I1782" s="4"/>
      <c r="J1782" s="4"/>
      <c r="K1782" s="11">
        <v>0</v>
      </c>
      <c r="L1782" s="4"/>
      <c r="M1782" s="4"/>
      <c r="N1782" s="11">
        <v>259.3</v>
      </c>
      <c r="O1782" s="4" t="s">
        <v>56</v>
      </c>
      <c r="P1782" s="4" t="s">
        <v>57</v>
      </c>
      <c r="Q1782" s="11">
        <v>0</v>
      </c>
      <c r="R1782" s="4"/>
      <c r="S1782" s="12"/>
    </row>
    <row r="1783" spans="1:19" x14ac:dyDescent="0.25">
      <c r="A1783" s="9" t="s">
        <v>1117</v>
      </c>
      <c r="B1783" s="9" t="s">
        <v>291</v>
      </c>
      <c r="C1783" s="4">
        <v>201002040</v>
      </c>
      <c r="D1783" s="4" t="s">
        <v>1381</v>
      </c>
      <c r="E1783" s="4" t="str">
        <f>"040442010"</f>
        <v>040442010</v>
      </c>
      <c r="F1783" s="10">
        <v>40234</v>
      </c>
      <c r="G1783" s="11">
        <v>350</v>
      </c>
      <c r="H1783" s="11">
        <v>0</v>
      </c>
      <c r="I1783" s="4"/>
      <c r="J1783" s="4"/>
      <c r="K1783" s="11">
        <v>0</v>
      </c>
      <c r="L1783" s="4"/>
      <c r="M1783" s="4"/>
      <c r="N1783" s="11">
        <v>350</v>
      </c>
      <c r="O1783" s="4" t="s">
        <v>56</v>
      </c>
      <c r="P1783" s="4" t="s">
        <v>57</v>
      </c>
      <c r="Q1783" s="11">
        <v>0</v>
      </c>
      <c r="R1783" s="4"/>
      <c r="S1783" s="12"/>
    </row>
    <row r="1784" spans="1:19" x14ac:dyDescent="0.25">
      <c r="A1784" s="9" t="s">
        <v>1117</v>
      </c>
      <c r="B1784" s="9" t="s">
        <v>291</v>
      </c>
      <c r="C1784" s="4">
        <v>201002045</v>
      </c>
      <c r="D1784" s="4" t="s">
        <v>1382</v>
      </c>
      <c r="E1784" s="4" t="str">
        <f>"041762010"</f>
        <v>041762010</v>
      </c>
      <c r="F1784" s="10">
        <v>40240</v>
      </c>
      <c r="G1784" s="11">
        <v>467</v>
      </c>
      <c r="H1784" s="11">
        <v>0</v>
      </c>
      <c r="I1784" s="4"/>
      <c r="J1784" s="4"/>
      <c r="K1784" s="11">
        <v>0</v>
      </c>
      <c r="L1784" s="4"/>
      <c r="M1784" s="4"/>
      <c r="N1784" s="11">
        <v>467</v>
      </c>
      <c r="O1784" s="4" t="s">
        <v>56</v>
      </c>
      <c r="P1784" s="4" t="s">
        <v>57</v>
      </c>
      <c r="Q1784" s="11">
        <v>0</v>
      </c>
      <c r="R1784" s="4"/>
      <c r="S1784" s="12"/>
    </row>
    <row r="1785" spans="1:19" x14ac:dyDescent="0.25">
      <c r="A1785" s="9" t="s">
        <v>1117</v>
      </c>
      <c r="B1785" s="9" t="s">
        <v>291</v>
      </c>
      <c r="C1785" s="4">
        <v>201002051</v>
      </c>
      <c r="D1785" s="4" t="s">
        <v>1383</v>
      </c>
      <c r="E1785" s="4" t="str">
        <f>"040382010"</f>
        <v>040382010</v>
      </c>
      <c r="F1785" s="10">
        <v>40233</v>
      </c>
      <c r="G1785" s="11">
        <v>350</v>
      </c>
      <c r="H1785" s="11">
        <v>0</v>
      </c>
      <c r="I1785" s="4"/>
      <c r="J1785" s="4"/>
      <c r="K1785" s="11">
        <v>0</v>
      </c>
      <c r="L1785" s="4"/>
      <c r="M1785" s="4"/>
      <c r="N1785" s="11">
        <v>350</v>
      </c>
      <c r="O1785" s="4" t="s">
        <v>56</v>
      </c>
      <c r="P1785" s="4" t="s">
        <v>57</v>
      </c>
      <c r="Q1785" s="11">
        <v>0</v>
      </c>
      <c r="R1785" s="4"/>
      <c r="S1785" s="12"/>
    </row>
    <row r="1786" spans="1:19" x14ac:dyDescent="0.25">
      <c r="A1786" s="9" t="s">
        <v>1117</v>
      </c>
      <c r="B1786" s="9" t="s">
        <v>291</v>
      </c>
      <c r="C1786" s="4">
        <v>201002066</v>
      </c>
      <c r="D1786" s="4" t="s">
        <v>1384</v>
      </c>
      <c r="E1786" s="4" t="str">
        <f>"043572010"</f>
        <v>043572010</v>
      </c>
      <c r="F1786" s="10">
        <v>40241</v>
      </c>
      <c r="G1786" s="11">
        <v>24.6</v>
      </c>
      <c r="H1786" s="11">
        <v>0</v>
      </c>
      <c r="I1786" s="4"/>
      <c r="J1786" s="4"/>
      <c r="K1786" s="11">
        <v>0</v>
      </c>
      <c r="L1786" s="4"/>
      <c r="M1786" s="4"/>
      <c r="N1786" s="11">
        <v>24.6</v>
      </c>
      <c r="O1786" s="4" t="s">
        <v>56</v>
      </c>
      <c r="P1786" s="4" t="s">
        <v>57</v>
      </c>
      <c r="Q1786" s="11">
        <v>0</v>
      </c>
      <c r="R1786" s="4"/>
      <c r="S1786" s="12"/>
    </row>
    <row r="1787" spans="1:19" x14ac:dyDescent="0.25">
      <c r="A1787" s="9" t="s">
        <v>1117</v>
      </c>
      <c r="B1787" s="9" t="s">
        <v>291</v>
      </c>
      <c r="C1787" s="4">
        <v>201002076</v>
      </c>
      <c r="D1787" s="4" t="s">
        <v>1385</v>
      </c>
      <c r="E1787" s="4" t="str">
        <f>"040662010"</f>
        <v>040662010</v>
      </c>
      <c r="F1787" s="10">
        <v>40234</v>
      </c>
      <c r="G1787" s="11">
        <v>350</v>
      </c>
      <c r="H1787" s="11">
        <v>0</v>
      </c>
      <c r="I1787" s="4"/>
      <c r="J1787" s="4"/>
      <c r="K1787" s="11">
        <v>0</v>
      </c>
      <c r="L1787" s="4"/>
      <c r="M1787" s="4"/>
      <c r="N1787" s="11">
        <v>350</v>
      </c>
      <c r="O1787" s="4" t="s">
        <v>56</v>
      </c>
      <c r="P1787" s="4" t="s">
        <v>57</v>
      </c>
      <c r="Q1787" s="11">
        <v>0</v>
      </c>
      <c r="R1787" s="4"/>
      <c r="S1787" s="12"/>
    </row>
    <row r="1788" spans="1:19" x14ac:dyDescent="0.25">
      <c r="A1788" s="9" t="s">
        <v>1117</v>
      </c>
      <c r="B1788" s="9" t="s">
        <v>291</v>
      </c>
      <c r="C1788" s="4">
        <v>201002080</v>
      </c>
      <c r="D1788" s="4" t="s">
        <v>1386</v>
      </c>
      <c r="E1788" s="4" t="str">
        <f>"041222010"</f>
        <v>041222010</v>
      </c>
      <c r="F1788" s="10">
        <v>40234</v>
      </c>
      <c r="G1788" s="11">
        <v>5</v>
      </c>
      <c r="H1788" s="11">
        <v>0</v>
      </c>
      <c r="I1788" s="4"/>
      <c r="J1788" s="4"/>
      <c r="K1788" s="11">
        <v>0</v>
      </c>
      <c r="L1788" s="4"/>
      <c r="M1788" s="4"/>
      <c r="N1788" s="11">
        <v>5</v>
      </c>
      <c r="O1788" s="4" t="s">
        <v>56</v>
      </c>
      <c r="P1788" s="4" t="s">
        <v>57</v>
      </c>
      <c r="Q1788" s="11">
        <v>0</v>
      </c>
      <c r="R1788" s="4"/>
      <c r="S1788" s="12"/>
    </row>
    <row r="1789" spans="1:19" x14ac:dyDescent="0.25">
      <c r="A1789" s="9" t="s">
        <v>1117</v>
      </c>
      <c r="B1789" s="9" t="s">
        <v>291</v>
      </c>
      <c r="C1789" s="4">
        <v>201002093</v>
      </c>
      <c r="D1789" s="4" t="s">
        <v>1369</v>
      </c>
      <c r="E1789" s="4" t="str">
        <f>"041102010"</f>
        <v>041102010</v>
      </c>
      <c r="F1789" s="10">
        <v>40234</v>
      </c>
      <c r="G1789" s="11">
        <v>7</v>
      </c>
      <c r="H1789" s="11">
        <v>0</v>
      </c>
      <c r="I1789" s="4"/>
      <c r="J1789" s="4"/>
      <c r="K1789" s="11">
        <v>0</v>
      </c>
      <c r="L1789" s="4"/>
      <c r="M1789" s="4"/>
      <c r="N1789" s="11">
        <v>7</v>
      </c>
      <c r="O1789" s="4" t="s">
        <v>56</v>
      </c>
      <c r="P1789" s="4" t="s">
        <v>57</v>
      </c>
      <c r="Q1789" s="11">
        <v>0</v>
      </c>
      <c r="R1789" s="4"/>
      <c r="S1789" s="12"/>
    </row>
    <row r="1790" spans="1:19" x14ac:dyDescent="0.25">
      <c r="A1790" s="9" t="s">
        <v>1117</v>
      </c>
      <c r="B1790" s="9" t="s">
        <v>291</v>
      </c>
      <c r="C1790" s="4">
        <v>201002103</v>
      </c>
      <c r="D1790" s="4" t="s">
        <v>1251</v>
      </c>
      <c r="E1790" s="4" t="str">
        <f>"040862010"</f>
        <v>040862010</v>
      </c>
      <c r="F1790" s="10">
        <v>40234</v>
      </c>
      <c r="G1790" s="11">
        <v>350</v>
      </c>
      <c r="H1790" s="11">
        <v>0</v>
      </c>
      <c r="I1790" s="4"/>
      <c r="J1790" s="4"/>
      <c r="K1790" s="11">
        <v>0</v>
      </c>
      <c r="L1790" s="4"/>
      <c r="M1790" s="4"/>
      <c r="N1790" s="11">
        <v>350</v>
      </c>
      <c r="O1790" s="4" t="s">
        <v>56</v>
      </c>
      <c r="P1790" s="4" t="s">
        <v>57</v>
      </c>
      <c r="Q1790" s="11">
        <v>0</v>
      </c>
      <c r="R1790" s="4"/>
      <c r="S1790" s="12"/>
    </row>
    <row r="1791" spans="1:19" x14ac:dyDescent="0.25">
      <c r="A1791" s="9" t="s">
        <v>1117</v>
      </c>
      <c r="B1791" s="9" t="s">
        <v>291</v>
      </c>
      <c r="C1791" s="4">
        <v>201002105</v>
      </c>
      <c r="D1791" s="4" t="s">
        <v>1387</v>
      </c>
      <c r="E1791" s="4" t="str">
        <f>"040802010"</f>
        <v>040802010</v>
      </c>
      <c r="F1791" s="10">
        <v>40234</v>
      </c>
      <c r="G1791" s="11">
        <v>350</v>
      </c>
      <c r="H1791" s="11">
        <v>0</v>
      </c>
      <c r="I1791" s="4"/>
      <c r="J1791" s="4"/>
      <c r="K1791" s="11">
        <v>0</v>
      </c>
      <c r="L1791" s="4"/>
      <c r="M1791" s="4"/>
      <c r="N1791" s="11">
        <v>350</v>
      </c>
      <c r="O1791" s="4" t="s">
        <v>56</v>
      </c>
      <c r="P1791" s="4" t="s">
        <v>57</v>
      </c>
      <c r="Q1791" s="11">
        <v>0</v>
      </c>
      <c r="R1791" s="4"/>
      <c r="S1791" s="12"/>
    </row>
    <row r="1792" spans="1:19" x14ac:dyDescent="0.25">
      <c r="A1792" s="9" t="s">
        <v>1117</v>
      </c>
      <c r="B1792" s="9" t="s">
        <v>291</v>
      </c>
      <c r="C1792" s="4">
        <v>201002109</v>
      </c>
      <c r="D1792" s="4" t="s">
        <v>1388</v>
      </c>
      <c r="E1792" s="4" t="str">
        <f>"041082010"</f>
        <v>041082010</v>
      </c>
      <c r="F1792" s="10">
        <v>40234</v>
      </c>
      <c r="G1792" s="11">
        <v>366.53</v>
      </c>
      <c r="H1792" s="11">
        <v>0</v>
      </c>
      <c r="I1792" s="4"/>
      <c r="J1792" s="4"/>
      <c r="K1792" s="11">
        <v>0</v>
      </c>
      <c r="L1792" s="4"/>
      <c r="M1792" s="4"/>
      <c r="N1792" s="11">
        <v>366.53</v>
      </c>
      <c r="O1792" s="4" t="s">
        <v>56</v>
      </c>
      <c r="P1792" s="4" t="s">
        <v>57</v>
      </c>
      <c r="Q1792" s="11">
        <v>0</v>
      </c>
      <c r="R1792" s="4"/>
      <c r="S1792" s="12"/>
    </row>
    <row r="1793" spans="1:19" x14ac:dyDescent="0.25">
      <c r="A1793" s="9" t="s">
        <v>1117</v>
      </c>
      <c r="B1793" s="9" t="s">
        <v>291</v>
      </c>
      <c r="C1793" s="4">
        <v>201002118</v>
      </c>
      <c r="D1793" s="4" t="s">
        <v>1389</v>
      </c>
      <c r="E1793" s="4" t="str">
        <f>"041302010"</f>
        <v>041302010</v>
      </c>
      <c r="F1793" s="10">
        <v>40241</v>
      </c>
      <c r="G1793" s="11">
        <v>366.14</v>
      </c>
      <c r="H1793" s="11">
        <v>0</v>
      </c>
      <c r="I1793" s="4"/>
      <c r="J1793" s="4"/>
      <c r="K1793" s="11">
        <v>0</v>
      </c>
      <c r="L1793" s="4"/>
      <c r="M1793" s="4"/>
      <c r="N1793" s="11">
        <v>366.14</v>
      </c>
      <c r="O1793" s="4" t="s">
        <v>56</v>
      </c>
      <c r="P1793" s="4" t="s">
        <v>57</v>
      </c>
      <c r="Q1793" s="11">
        <v>0</v>
      </c>
      <c r="R1793" s="4"/>
      <c r="S1793" s="12"/>
    </row>
    <row r="1794" spans="1:19" x14ac:dyDescent="0.25">
      <c r="A1794" s="9" t="s">
        <v>1117</v>
      </c>
      <c r="B1794" s="9" t="s">
        <v>1117</v>
      </c>
      <c r="C1794" s="4">
        <v>201002122</v>
      </c>
      <c r="D1794" s="4" t="s">
        <v>1148</v>
      </c>
      <c r="E1794" s="4" t="str">
        <f>"041682010"</f>
        <v>041682010</v>
      </c>
      <c r="F1794" s="10">
        <v>40241</v>
      </c>
      <c r="G1794" s="11">
        <v>350</v>
      </c>
      <c r="H1794" s="11">
        <v>0</v>
      </c>
      <c r="I1794" s="4"/>
      <c r="J1794" s="4"/>
      <c r="K1794" s="11">
        <v>0</v>
      </c>
      <c r="L1794" s="4"/>
      <c r="M1794" s="4"/>
      <c r="N1794" s="11">
        <v>350</v>
      </c>
      <c r="O1794" s="4" t="s">
        <v>56</v>
      </c>
      <c r="P1794" s="4" t="s">
        <v>57</v>
      </c>
      <c r="Q1794" s="11">
        <v>0</v>
      </c>
      <c r="R1794" s="4"/>
      <c r="S1794" s="12"/>
    </row>
    <row r="1795" spans="1:19" x14ac:dyDescent="0.25">
      <c r="A1795" s="9" t="s">
        <v>1117</v>
      </c>
      <c r="B1795" s="9" t="s">
        <v>291</v>
      </c>
      <c r="C1795" s="4">
        <v>201002123</v>
      </c>
      <c r="D1795" s="4" t="s">
        <v>1390</v>
      </c>
      <c r="E1795" s="4" t="str">
        <f>"043512010"</f>
        <v>043512010</v>
      </c>
      <c r="F1795" s="10">
        <v>40241</v>
      </c>
      <c r="G1795" s="11">
        <v>350</v>
      </c>
      <c r="H1795" s="11">
        <v>0</v>
      </c>
      <c r="I1795" s="4"/>
      <c r="J1795" s="4"/>
      <c r="K1795" s="11">
        <v>0</v>
      </c>
      <c r="L1795" s="4"/>
      <c r="M1795" s="4"/>
      <c r="N1795" s="11">
        <v>350</v>
      </c>
      <c r="O1795" s="4" t="s">
        <v>56</v>
      </c>
      <c r="P1795" s="4" t="s">
        <v>57</v>
      </c>
      <c r="Q1795" s="11">
        <v>0</v>
      </c>
      <c r="R1795" s="4"/>
      <c r="S1795" s="12"/>
    </row>
    <row r="1796" spans="1:19" x14ac:dyDescent="0.25">
      <c r="A1796" s="9" t="s">
        <v>1117</v>
      </c>
      <c r="B1796" s="9" t="s">
        <v>291</v>
      </c>
      <c r="C1796" s="4">
        <v>201002125</v>
      </c>
      <c r="D1796" s="4" t="s">
        <v>1391</v>
      </c>
      <c r="E1796" s="4" t="str">
        <f>"041442010"</f>
        <v>041442010</v>
      </c>
      <c r="F1796" s="10">
        <v>40241</v>
      </c>
      <c r="G1796" s="11">
        <v>350</v>
      </c>
      <c r="H1796" s="11">
        <v>0</v>
      </c>
      <c r="I1796" s="4"/>
      <c r="J1796" s="4"/>
      <c r="K1796" s="11">
        <v>0</v>
      </c>
      <c r="L1796" s="4"/>
      <c r="M1796" s="4"/>
      <c r="N1796" s="11">
        <v>350</v>
      </c>
      <c r="O1796" s="4" t="s">
        <v>56</v>
      </c>
      <c r="P1796" s="4" t="s">
        <v>57</v>
      </c>
      <c r="Q1796" s="11">
        <v>0</v>
      </c>
      <c r="R1796" s="4"/>
      <c r="S1796" s="12"/>
    </row>
    <row r="1797" spans="1:19" x14ac:dyDescent="0.25">
      <c r="A1797" s="9" t="s">
        <v>1117</v>
      </c>
      <c r="B1797" s="9" t="s">
        <v>291</v>
      </c>
      <c r="C1797" s="4">
        <v>201002127</v>
      </c>
      <c r="D1797" s="4" t="s">
        <v>1336</v>
      </c>
      <c r="E1797" s="4" t="str">
        <f>"041402010"</f>
        <v>041402010</v>
      </c>
      <c r="F1797" s="10">
        <v>40241</v>
      </c>
      <c r="G1797" s="11">
        <v>20.86</v>
      </c>
      <c r="H1797" s="11">
        <v>0</v>
      </c>
      <c r="I1797" s="4"/>
      <c r="J1797" s="4"/>
      <c r="K1797" s="11">
        <v>0</v>
      </c>
      <c r="L1797" s="4"/>
      <c r="M1797" s="4"/>
      <c r="N1797" s="11">
        <v>20.86</v>
      </c>
      <c r="O1797" s="4" t="s">
        <v>56</v>
      </c>
      <c r="P1797" s="4" t="s">
        <v>57</v>
      </c>
      <c r="Q1797" s="11">
        <v>0</v>
      </c>
      <c r="R1797" s="4"/>
      <c r="S1797" s="12"/>
    </row>
    <row r="1798" spans="1:19" x14ac:dyDescent="0.25">
      <c r="A1798" s="9" t="s">
        <v>1117</v>
      </c>
      <c r="B1798" s="9" t="s">
        <v>291</v>
      </c>
      <c r="C1798" s="4">
        <v>201002129</v>
      </c>
      <c r="D1798" s="4" t="s">
        <v>1336</v>
      </c>
      <c r="E1798" s="4" t="str">
        <f>"041342010"</f>
        <v>041342010</v>
      </c>
      <c r="F1798" s="10">
        <v>40241</v>
      </c>
      <c r="G1798" s="11">
        <v>740.57</v>
      </c>
      <c r="H1798" s="11">
        <v>0</v>
      </c>
      <c r="I1798" s="4"/>
      <c r="J1798" s="4"/>
      <c r="K1798" s="11">
        <v>0</v>
      </c>
      <c r="L1798" s="4"/>
      <c r="M1798" s="4"/>
      <c r="N1798" s="11">
        <v>740.57</v>
      </c>
      <c r="O1798" s="4" t="s">
        <v>56</v>
      </c>
      <c r="P1798" s="4" t="s">
        <v>57</v>
      </c>
      <c r="Q1798" s="11">
        <v>0</v>
      </c>
      <c r="R1798" s="4"/>
      <c r="S1798" s="12"/>
    </row>
    <row r="1799" spans="1:19" x14ac:dyDescent="0.25">
      <c r="A1799" s="9" t="s">
        <v>1117</v>
      </c>
      <c r="B1799" s="9" t="s">
        <v>291</v>
      </c>
      <c r="C1799" s="4">
        <v>201002130</v>
      </c>
      <c r="D1799" s="4" t="s">
        <v>1392</v>
      </c>
      <c r="E1799" s="4" t="str">
        <f>"041322010"</f>
        <v>041322010</v>
      </c>
      <c r="F1799" s="10">
        <v>40241</v>
      </c>
      <c r="G1799" s="11">
        <v>350</v>
      </c>
      <c r="H1799" s="11">
        <v>0</v>
      </c>
      <c r="I1799" s="4"/>
      <c r="J1799" s="4"/>
      <c r="K1799" s="11">
        <v>0</v>
      </c>
      <c r="L1799" s="4"/>
      <c r="M1799" s="4"/>
      <c r="N1799" s="11">
        <v>350</v>
      </c>
      <c r="O1799" s="4" t="s">
        <v>56</v>
      </c>
      <c r="P1799" s="4" t="s">
        <v>57</v>
      </c>
      <c r="Q1799" s="11">
        <v>0</v>
      </c>
      <c r="R1799" s="4"/>
      <c r="S1799" s="12"/>
    </row>
    <row r="1800" spans="1:19" x14ac:dyDescent="0.25">
      <c r="A1800" s="9" t="s">
        <v>1117</v>
      </c>
      <c r="B1800" s="9" t="s">
        <v>291</v>
      </c>
      <c r="C1800" s="4">
        <v>201002132</v>
      </c>
      <c r="D1800" s="4" t="s">
        <v>2534</v>
      </c>
      <c r="E1800" s="4" t="str">
        <f>"043472010"</f>
        <v>043472010</v>
      </c>
      <c r="F1800" s="10">
        <v>40241</v>
      </c>
      <c r="G1800" s="11">
        <v>350</v>
      </c>
      <c r="H1800" s="11">
        <v>0</v>
      </c>
      <c r="I1800" s="4"/>
      <c r="J1800" s="4"/>
      <c r="K1800" s="11">
        <v>350</v>
      </c>
      <c r="L1800" s="4" t="s">
        <v>56</v>
      </c>
      <c r="M1800" s="4" t="s">
        <v>57</v>
      </c>
      <c r="N1800" s="11">
        <v>0</v>
      </c>
      <c r="O1800" s="4"/>
      <c r="P1800" s="4"/>
      <c r="Q1800" s="11">
        <v>0</v>
      </c>
      <c r="R1800" s="4"/>
      <c r="S1800" s="12"/>
    </row>
    <row r="1801" spans="1:19" x14ac:dyDescent="0.25">
      <c r="A1801" s="9" t="s">
        <v>1117</v>
      </c>
      <c r="B1801" s="9" t="s">
        <v>291</v>
      </c>
      <c r="C1801" s="4">
        <v>201002136</v>
      </c>
      <c r="D1801" s="4" t="s">
        <v>1212</v>
      </c>
      <c r="E1801" s="4" t="str">
        <f>"041662010"</f>
        <v>041662010</v>
      </c>
      <c r="F1801" s="10">
        <v>40241</v>
      </c>
      <c r="G1801" s="11">
        <v>350</v>
      </c>
      <c r="H1801" s="11">
        <v>0</v>
      </c>
      <c r="I1801" s="4"/>
      <c r="J1801" s="4"/>
      <c r="K1801" s="11">
        <v>0</v>
      </c>
      <c r="L1801" s="4"/>
      <c r="M1801" s="4"/>
      <c r="N1801" s="11">
        <v>350</v>
      </c>
      <c r="O1801" s="4" t="s">
        <v>56</v>
      </c>
      <c r="P1801" s="4" t="s">
        <v>57</v>
      </c>
      <c r="Q1801" s="11">
        <v>0</v>
      </c>
      <c r="R1801" s="4"/>
      <c r="S1801" s="12"/>
    </row>
    <row r="1802" spans="1:19" x14ac:dyDescent="0.25">
      <c r="A1802" s="9" t="s">
        <v>1117</v>
      </c>
      <c r="B1802" s="9" t="s">
        <v>291</v>
      </c>
      <c r="C1802" s="4">
        <v>201002141</v>
      </c>
      <c r="D1802" s="4" t="s">
        <v>1317</v>
      </c>
      <c r="E1802" s="4" t="str">
        <f>"041832010"</f>
        <v>041832010</v>
      </c>
      <c r="F1802" s="10">
        <v>40241</v>
      </c>
      <c r="G1802" s="11">
        <v>11.8</v>
      </c>
      <c r="H1802" s="11">
        <v>0</v>
      </c>
      <c r="I1802" s="4"/>
      <c r="J1802" s="4"/>
      <c r="K1802" s="11">
        <v>0</v>
      </c>
      <c r="L1802" s="4"/>
      <c r="M1802" s="4"/>
      <c r="N1802" s="11">
        <v>11.8</v>
      </c>
      <c r="O1802" s="4" t="s">
        <v>56</v>
      </c>
      <c r="P1802" s="4" t="s">
        <v>57</v>
      </c>
      <c r="Q1802" s="11">
        <v>0</v>
      </c>
      <c r="R1802" s="4"/>
      <c r="S1802" s="12"/>
    </row>
    <row r="1803" spans="1:19" x14ac:dyDescent="0.25">
      <c r="A1803" s="9" t="s">
        <v>1117</v>
      </c>
      <c r="B1803" s="9" t="s">
        <v>291</v>
      </c>
      <c r="C1803" s="4">
        <v>201002143</v>
      </c>
      <c r="D1803" s="4" t="s">
        <v>1317</v>
      </c>
      <c r="E1803" s="4" t="str">
        <f>"091782010"</f>
        <v>091782010</v>
      </c>
      <c r="F1803" s="10">
        <v>40368</v>
      </c>
      <c r="G1803" s="11">
        <v>10.6</v>
      </c>
      <c r="H1803" s="11">
        <v>0</v>
      </c>
      <c r="I1803" s="4"/>
      <c r="J1803" s="4"/>
      <c r="K1803" s="11">
        <v>0</v>
      </c>
      <c r="L1803" s="4"/>
      <c r="M1803" s="4"/>
      <c r="N1803" s="11">
        <v>10.6</v>
      </c>
      <c r="O1803" s="4" t="s">
        <v>56</v>
      </c>
      <c r="P1803" s="4" t="s">
        <v>57</v>
      </c>
      <c r="Q1803" s="11">
        <v>0</v>
      </c>
      <c r="R1803" s="4"/>
      <c r="S1803" s="12"/>
    </row>
    <row r="1804" spans="1:19" x14ac:dyDescent="0.25">
      <c r="A1804" s="9" t="s">
        <v>1117</v>
      </c>
      <c r="B1804" s="9" t="s">
        <v>291</v>
      </c>
      <c r="C1804" s="4">
        <v>201002188</v>
      </c>
      <c r="D1804" s="4" t="s">
        <v>1393</v>
      </c>
      <c r="E1804" s="4" t="str">
        <f>"045842010"</f>
        <v>045842010</v>
      </c>
      <c r="F1804" s="10">
        <v>40248</v>
      </c>
      <c r="G1804" s="11">
        <v>350</v>
      </c>
      <c r="H1804" s="11">
        <v>0</v>
      </c>
      <c r="I1804" s="4"/>
      <c r="J1804" s="4"/>
      <c r="K1804" s="11">
        <v>0</v>
      </c>
      <c r="L1804" s="4"/>
      <c r="M1804" s="4"/>
      <c r="N1804" s="11">
        <v>350</v>
      </c>
      <c r="O1804" s="4" t="s">
        <v>56</v>
      </c>
      <c r="P1804" s="4" t="s">
        <v>57</v>
      </c>
      <c r="Q1804" s="11">
        <v>0</v>
      </c>
      <c r="R1804" s="4"/>
      <c r="S1804" s="12"/>
    </row>
    <row r="1805" spans="1:19" x14ac:dyDescent="0.25">
      <c r="A1805" s="9" t="s">
        <v>1117</v>
      </c>
      <c r="B1805" s="9" t="s">
        <v>291</v>
      </c>
      <c r="C1805" s="4">
        <v>201002195</v>
      </c>
      <c r="D1805" s="4" t="s">
        <v>1318</v>
      </c>
      <c r="E1805" s="4" t="str">
        <f>"042652010"</f>
        <v>042652010</v>
      </c>
      <c r="F1805" s="10">
        <v>40246</v>
      </c>
      <c r="G1805" s="11">
        <v>350</v>
      </c>
      <c r="H1805" s="11">
        <v>0</v>
      </c>
      <c r="I1805" s="4"/>
      <c r="J1805" s="4"/>
      <c r="K1805" s="11">
        <v>0</v>
      </c>
      <c r="L1805" s="4"/>
      <c r="M1805" s="4"/>
      <c r="N1805" s="11">
        <v>350</v>
      </c>
      <c r="O1805" s="4" t="s">
        <v>56</v>
      </c>
      <c r="P1805" s="4" t="s">
        <v>57</v>
      </c>
      <c r="Q1805" s="11">
        <v>0</v>
      </c>
      <c r="R1805" s="4"/>
      <c r="S1805" s="12"/>
    </row>
    <row r="1806" spans="1:19" x14ac:dyDescent="0.25">
      <c r="A1806" s="9" t="s">
        <v>1117</v>
      </c>
      <c r="B1806" s="9" t="s">
        <v>291</v>
      </c>
      <c r="C1806" s="4">
        <v>201002212</v>
      </c>
      <c r="D1806" s="4" t="s">
        <v>1393</v>
      </c>
      <c r="E1806" s="4" t="str">
        <f>"045322010"</f>
        <v>045322010</v>
      </c>
      <c r="F1806" s="10">
        <v>40248</v>
      </c>
      <c r="G1806" s="11">
        <v>350</v>
      </c>
      <c r="H1806" s="11">
        <v>0</v>
      </c>
      <c r="I1806" s="4"/>
      <c r="J1806" s="4"/>
      <c r="K1806" s="11">
        <v>0</v>
      </c>
      <c r="L1806" s="4"/>
      <c r="M1806" s="4"/>
      <c r="N1806" s="11">
        <v>350</v>
      </c>
      <c r="O1806" s="4" t="s">
        <v>56</v>
      </c>
      <c r="P1806" s="4" t="s">
        <v>57</v>
      </c>
      <c r="Q1806" s="11">
        <v>0</v>
      </c>
      <c r="R1806" s="4"/>
      <c r="S1806" s="12"/>
    </row>
    <row r="1807" spans="1:19" x14ac:dyDescent="0.25">
      <c r="A1807" s="9" t="s">
        <v>1117</v>
      </c>
      <c r="B1807" s="9" t="s">
        <v>291</v>
      </c>
      <c r="C1807" s="4">
        <v>201002217</v>
      </c>
      <c r="D1807" s="4" t="s">
        <v>1394</v>
      </c>
      <c r="E1807" s="4" t="str">
        <f>"047222010"</f>
        <v>047222010</v>
      </c>
      <c r="F1807" s="10">
        <v>40252</v>
      </c>
      <c r="G1807" s="11">
        <v>16.47</v>
      </c>
      <c r="H1807" s="11">
        <v>0</v>
      </c>
      <c r="I1807" s="4"/>
      <c r="J1807" s="4"/>
      <c r="K1807" s="11">
        <v>0</v>
      </c>
      <c r="L1807" s="4"/>
      <c r="M1807" s="4"/>
      <c r="N1807" s="11">
        <v>16.47</v>
      </c>
      <c r="O1807" s="4" t="s">
        <v>56</v>
      </c>
      <c r="P1807" s="4" t="s">
        <v>57</v>
      </c>
      <c r="Q1807" s="11">
        <v>0</v>
      </c>
      <c r="R1807" s="4"/>
      <c r="S1807" s="12"/>
    </row>
    <row r="1808" spans="1:19" x14ac:dyDescent="0.25">
      <c r="A1808" s="9" t="s">
        <v>1117</v>
      </c>
      <c r="B1808" s="9" t="s">
        <v>291</v>
      </c>
      <c r="C1808" s="4">
        <v>201002218</v>
      </c>
      <c r="D1808" s="4" t="s">
        <v>1395</v>
      </c>
      <c r="E1808" s="4" t="str">
        <f>"045302010"</f>
        <v>045302010</v>
      </c>
      <c r="F1808" s="10">
        <v>40248</v>
      </c>
      <c r="G1808" s="11">
        <v>350</v>
      </c>
      <c r="H1808" s="11">
        <v>0</v>
      </c>
      <c r="I1808" s="4"/>
      <c r="J1808" s="4"/>
      <c r="K1808" s="11">
        <v>0</v>
      </c>
      <c r="L1808" s="4"/>
      <c r="M1808" s="4"/>
      <c r="N1808" s="11">
        <v>350</v>
      </c>
      <c r="O1808" s="4" t="s">
        <v>56</v>
      </c>
      <c r="P1808" s="4" t="s">
        <v>57</v>
      </c>
      <c r="Q1808" s="11">
        <v>0</v>
      </c>
      <c r="R1808" s="4"/>
      <c r="S1808" s="12"/>
    </row>
    <row r="1809" spans="1:19" x14ac:dyDescent="0.25">
      <c r="A1809" s="9" t="s">
        <v>1117</v>
      </c>
      <c r="B1809" s="9" t="s">
        <v>291</v>
      </c>
      <c r="C1809" s="4">
        <v>201002219</v>
      </c>
      <c r="D1809" s="4" t="s">
        <v>1210</v>
      </c>
      <c r="E1809" s="4" t="str">
        <f>"045862010"</f>
        <v>045862010</v>
      </c>
      <c r="F1809" s="10">
        <v>40248</v>
      </c>
      <c r="G1809" s="11">
        <v>350</v>
      </c>
      <c r="H1809" s="11">
        <v>0</v>
      </c>
      <c r="I1809" s="4"/>
      <c r="J1809" s="4"/>
      <c r="K1809" s="11">
        <v>0</v>
      </c>
      <c r="L1809" s="4"/>
      <c r="M1809" s="4"/>
      <c r="N1809" s="11">
        <v>350</v>
      </c>
      <c r="O1809" s="4" t="s">
        <v>56</v>
      </c>
      <c r="P1809" s="4" t="s">
        <v>57</v>
      </c>
      <c r="Q1809" s="11">
        <v>0</v>
      </c>
      <c r="R1809" s="4"/>
      <c r="S1809" s="12"/>
    </row>
    <row r="1810" spans="1:19" x14ac:dyDescent="0.25">
      <c r="A1810" s="9" t="s">
        <v>1117</v>
      </c>
      <c r="B1810" s="9" t="s">
        <v>291</v>
      </c>
      <c r="C1810" s="4">
        <v>201002221</v>
      </c>
      <c r="D1810" s="4" t="s">
        <v>1396</v>
      </c>
      <c r="E1810" s="4" t="str">
        <f>"046362010"</f>
        <v>046362010</v>
      </c>
      <c r="F1810" s="10">
        <v>40249</v>
      </c>
      <c r="G1810" s="11">
        <v>350</v>
      </c>
      <c r="H1810" s="11">
        <v>0</v>
      </c>
      <c r="I1810" s="4"/>
      <c r="J1810" s="4"/>
      <c r="K1810" s="11">
        <v>0</v>
      </c>
      <c r="L1810" s="4"/>
      <c r="M1810" s="4"/>
      <c r="N1810" s="11">
        <v>350</v>
      </c>
      <c r="O1810" s="4" t="s">
        <v>56</v>
      </c>
      <c r="P1810" s="4" t="s">
        <v>57</v>
      </c>
      <c r="Q1810" s="11">
        <v>0</v>
      </c>
      <c r="R1810" s="4"/>
      <c r="S1810" s="12"/>
    </row>
    <row r="1811" spans="1:19" x14ac:dyDescent="0.25">
      <c r="A1811" s="9" t="s">
        <v>1117</v>
      </c>
      <c r="B1811" s="9" t="s">
        <v>291</v>
      </c>
      <c r="C1811" s="4">
        <v>201002225</v>
      </c>
      <c r="D1811" s="4" t="s">
        <v>1397</v>
      </c>
      <c r="E1811" s="4" t="str">
        <f>"043732010"</f>
        <v>043732010</v>
      </c>
      <c r="F1811" s="10">
        <v>40245</v>
      </c>
      <c r="G1811" s="11">
        <v>84.5</v>
      </c>
      <c r="H1811" s="11">
        <v>0</v>
      </c>
      <c r="I1811" s="4"/>
      <c r="J1811" s="4"/>
      <c r="K1811" s="11">
        <v>0</v>
      </c>
      <c r="L1811" s="4"/>
      <c r="M1811" s="4"/>
      <c r="N1811" s="11">
        <v>84.5</v>
      </c>
      <c r="O1811" s="4" t="s">
        <v>56</v>
      </c>
      <c r="P1811" s="4" t="s">
        <v>57</v>
      </c>
      <c r="Q1811" s="11">
        <v>0</v>
      </c>
      <c r="R1811" s="4"/>
      <c r="S1811" s="12"/>
    </row>
    <row r="1812" spans="1:19" x14ac:dyDescent="0.25">
      <c r="A1812" s="9" t="s">
        <v>1117</v>
      </c>
      <c r="B1812" s="9" t="s">
        <v>291</v>
      </c>
      <c r="C1812" s="4">
        <v>201002234</v>
      </c>
      <c r="D1812" s="4" t="s">
        <v>1398</v>
      </c>
      <c r="E1812" s="4" t="str">
        <f>"046182010"</f>
        <v>046182010</v>
      </c>
      <c r="F1812" s="10">
        <v>40249</v>
      </c>
      <c r="G1812" s="11">
        <v>350</v>
      </c>
      <c r="H1812" s="11">
        <v>0</v>
      </c>
      <c r="I1812" s="4"/>
      <c r="J1812" s="4"/>
      <c r="K1812" s="11">
        <v>0</v>
      </c>
      <c r="L1812" s="4"/>
      <c r="M1812" s="4"/>
      <c r="N1812" s="11">
        <v>350</v>
      </c>
      <c r="O1812" s="4" t="s">
        <v>56</v>
      </c>
      <c r="P1812" s="4" t="s">
        <v>57</v>
      </c>
      <c r="Q1812" s="11">
        <v>0</v>
      </c>
      <c r="R1812" s="4"/>
      <c r="S1812" s="12"/>
    </row>
    <row r="1813" spans="1:19" x14ac:dyDescent="0.25">
      <c r="A1813" s="9" t="s">
        <v>1117</v>
      </c>
      <c r="B1813" s="9" t="s">
        <v>291</v>
      </c>
      <c r="C1813" s="4">
        <v>201002235</v>
      </c>
      <c r="D1813" s="4" t="s">
        <v>1399</v>
      </c>
      <c r="E1813" s="4" t="str">
        <f>"046322010"</f>
        <v>046322010</v>
      </c>
      <c r="F1813" s="10">
        <v>40249</v>
      </c>
      <c r="G1813" s="11">
        <v>350</v>
      </c>
      <c r="H1813" s="11">
        <v>0</v>
      </c>
      <c r="I1813" s="4"/>
      <c r="J1813" s="4"/>
      <c r="K1813" s="11">
        <v>0</v>
      </c>
      <c r="L1813" s="4"/>
      <c r="M1813" s="4"/>
      <c r="N1813" s="11">
        <v>350</v>
      </c>
      <c r="O1813" s="4" t="s">
        <v>56</v>
      </c>
      <c r="P1813" s="4" t="s">
        <v>57</v>
      </c>
      <c r="Q1813" s="11">
        <v>0</v>
      </c>
      <c r="R1813" s="4"/>
      <c r="S1813" s="12"/>
    </row>
    <row r="1814" spans="1:19" x14ac:dyDescent="0.25">
      <c r="A1814" s="9" t="s">
        <v>1117</v>
      </c>
      <c r="B1814" s="9" t="s">
        <v>291</v>
      </c>
      <c r="C1814" s="4">
        <v>201002236</v>
      </c>
      <c r="D1814" s="4" t="s">
        <v>1400</v>
      </c>
      <c r="E1814" s="4" t="str">
        <f>"043412010"</f>
        <v>043412010</v>
      </c>
      <c r="F1814" s="10">
        <v>40241</v>
      </c>
      <c r="G1814" s="11">
        <v>350</v>
      </c>
      <c r="H1814" s="11">
        <v>0</v>
      </c>
      <c r="I1814" s="4"/>
      <c r="J1814" s="4"/>
      <c r="K1814" s="11">
        <v>0</v>
      </c>
      <c r="L1814" s="4"/>
      <c r="M1814" s="4"/>
      <c r="N1814" s="11">
        <v>350</v>
      </c>
      <c r="O1814" s="4" t="s">
        <v>56</v>
      </c>
      <c r="P1814" s="4" t="s">
        <v>57</v>
      </c>
      <c r="Q1814" s="11">
        <v>0</v>
      </c>
      <c r="R1814" s="4"/>
      <c r="S1814" s="12"/>
    </row>
    <row r="1815" spans="1:19" x14ac:dyDescent="0.25">
      <c r="A1815" s="9" t="s">
        <v>1117</v>
      </c>
      <c r="B1815" s="9" t="s">
        <v>291</v>
      </c>
      <c r="C1815" s="4">
        <v>201002252</v>
      </c>
      <c r="D1815" s="4" t="s">
        <v>1401</v>
      </c>
      <c r="E1815" s="4" t="str">
        <f>"044222010"</f>
        <v>044222010</v>
      </c>
      <c r="F1815" s="10">
        <v>40245</v>
      </c>
      <c r="G1815" s="11">
        <v>368.21</v>
      </c>
      <c r="H1815" s="11">
        <v>0</v>
      </c>
      <c r="I1815" s="4"/>
      <c r="J1815" s="4"/>
      <c r="K1815" s="11">
        <v>0</v>
      </c>
      <c r="L1815" s="4"/>
      <c r="M1815" s="4"/>
      <c r="N1815" s="11">
        <v>368.21</v>
      </c>
      <c r="O1815" s="4" t="s">
        <v>56</v>
      </c>
      <c r="P1815" s="4" t="s">
        <v>57</v>
      </c>
      <c r="Q1815" s="11">
        <v>0</v>
      </c>
      <c r="R1815" s="4"/>
      <c r="S1815" s="12"/>
    </row>
    <row r="1816" spans="1:19" x14ac:dyDescent="0.25">
      <c r="A1816" s="9" t="s">
        <v>1117</v>
      </c>
      <c r="B1816" s="9" t="s">
        <v>291</v>
      </c>
      <c r="C1816" s="4">
        <v>201002255</v>
      </c>
      <c r="D1816" s="4" t="s">
        <v>1402</v>
      </c>
      <c r="E1816" s="4" t="str">
        <f>"044262010"</f>
        <v>044262010</v>
      </c>
      <c r="F1816" s="10">
        <v>40245</v>
      </c>
      <c r="G1816" s="11">
        <v>5000</v>
      </c>
      <c r="H1816" s="11">
        <v>5000</v>
      </c>
      <c r="I1816" s="4" t="s">
        <v>30</v>
      </c>
      <c r="J1816" s="4" t="s">
        <v>31</v>
      </c>
      <c r="K1816" s="11">
        <v>0</v>
      </c>
      <c r="L1816" s="4"/>
      <c r="M1816" s="4"/>
      <c r="N1816" s="11">
        <v>0</v>
      </c>
      <c r="O1816" s="4"/>
      <c r="P1816" s="4"/>
      <c r="Q1816" s="11">
        <v>0</v>
      </c>
      <c r="R1816" s="4"/>
      <c r="S1816" s="12"/>
    </row>
    <row r="1817" spans="1:19" x14ac:dyDescent="0.25">
      <c r="A1817" s="9" t="s">
        <v>1117</v>
      </c>
      <c r="B1817" s="9" t="s">
        <v>291</v>
      </c>
      <c r="C1817" s="4">
        <v>201002261</v>
      </c>
      <c r="D1817" s="4" t="s">
        <v>1403</v>
      </c>
      <c r="E1817" s="4" t="str">
        <f>"044342010"</f>
        <v>044342010</v>
      </c>
      <c r="F1817" s="10">
        <v>40245</v>
      </c>
      <c r="G1817" s="11">
        <v>100</v>
      </c>
      <c r="H1817" s="11">
        <v>0</v>
      </c>
      <c r="I1817" s="4"/>
      <c r="J1817" s="4"/>
      <c r="K1817" s="11">
        <v>0</v>
      </c>
      <c r="L1817" s="4"/>
      <c r="M1817" s="4"/>
      <c r="N1817" s="11">
        <v>100</v>
      </c>
      <c r="O1817" s="4" t="s">
        <v>56</v>
      </c>
      <c r="P1817" s="4" t="s">
        <v>57</v>
      </c>
      <c r="Q1817" s="11">
        <v>0</v>
      </c>
      <c r="R1817" s="4"/>
      <c r="S1817" s="12"/>
    </row>
    <row r="1818" spans="1:19" x14ac:dyDescent="0.25">
      <c r="A1818" s="9" t="s">
        <v>1117</v>
      </c>
      <c r="B1818" s="9" t="s">
        <v>291</v>
      </c>
      <c r="C1818" s="4">
        <v>201002271</v>
      </c>
      <c r="D1818" s="4" t="s">
        <v>2534</v>
      </c>
      <c r="E1818" s="4" t="str">
        <f>"044522010"</f>
        <v>044522010</v>
      </c>
      <c r="F1818" s="10">
        <v>40245</v>
      </c>
      <c r="G1818" s="11">
        <v>350</v>
      </c>
      <c r="H1818" s="11">
        <v>0</v>
      </c>
      <c r="I1818" s="4"/>
      <c r="J1818" s="4"/>
      <c r="K1818" s="11">
        <v>350</v>
      </c>
      <c r="L1818" s="4" t="s">
        <v>56</v>
      </c>
      <c r="M1818" s="4" t="s">
        <v>57</v>
      </c>
      <c r="N1818" s="11">
        <v>0</v>
      </c>
      <c r="O1818" s="4"/>
      <c r="P1818" s="4"/>
      <c r="Q1818" s="11">
        <v>0</v>
      </c>
      <c r="R1818" s="4"/>
      <c r="S1818" s="12"/>
    </row>
    <row r="1819" spans="1:19" x14ac:dyDescent="0.25">
      <c r="A1819" s="9" t="s">
        <v>1117</v>
      </c>
      <c r="B1819" s="9" t="s">
        <v>291</v>
      </c>
      <c r="C1819" s="4">
        <v>201002276</v>
      </c>
      <c r="D1819" s="4" t="s">
        <v>1318</v>
      </c>
      <c r="E1819" s="4" t="str">
        <f>"044422010"</f>
        <v>044422010</v>
      </c>
      <c r="F1819" s="10">
        <v>40245</v>
      </c>
      <c r="G1819" s="11">
        <v>350</v>
      </c>
      <c r="H1819" s="11">
        <v>0</v>
      </c>
      <c r="I1819" s="4"/>
      <c r="J1819" s="4"/>
      <c r="K1819" s="11">
        <v>0</v>
      </c>
      <c r="L1819" s="4"/>
      <c r="M1819" s="4"/>
      <c r="N1819" s="11">
        <v>350</v>
      </c>
      <c r="O1819" s="4" t="s">
        <v>56</v>
      </c>
      <c r="P1819" s="4" t="s">
        <v>57</v>
      </c>
      <c r="Q1819" s="11">
        <v>0</v>
      </c>
      <c r="R1819" s="4"/>
      <c r="S1819" s="12"/>
    </row>
    <row r="1820" spans="1:19" x14ac:dyDescent="0.25">
      <c r="A1820" s="9" t="s">
        <v>1117</v>
      </c>
      <c r="B1820" s="9" t="s">
        <v>291</v>
      </c>
      <c r="C1820" s="4">
        <v>201002293</v>
      </c>
      <c r="D1820" s="4" t="s">
        <v>1317</v>
      </c>
      <c r="E1820" s="4" t="str">
        <f>"044802010"</f>
        <v>044802010</v>
      </c>
      <c r="F1820" s="10">
        <v>40245</v>
      </c>
      <c r="G1820" s="11">
        <v>350</v>
      </c>
      <c r="H1820" s="11">
        <v>0</v>
      </c>
      <c r="I1820" s="4"/>
      <c r="J1820" s="4"/>
      <c r="K1820" s="11">
        <v>0</v>
      </c>
      <c r="L1820" s="4"/>
      <c r="M1820" s="4"/>
      <c r="N1820" s="11">
        <v>350</v>
      </c>
      <c r="O1820" s="4" t="s">
        <v>308</v>
      </c>
      <c r="P1820" s="4" t="s">
        <v>309</v>
      </c>
      <c r="Q1820" s="11">
        <v>0</v>
      </c>
      <c r="R1820" s="4"/>
      <c r="S1820" s="12"/>
    </row>
    <row r="1821" spans="1:19" x14ac:dyDescent="0.25">
      <c r="A1821" s="9" t="s">
        <v>1117</v>
      </c>
      <c r="B1821" s="9" t="s">
        <v>291</v>
      </c>
      <c r="C1821" s="4">
        <v>201002301</v>
      </c>
      <c r="D1821" s="4" t="s">
        <v>1161</v>
      </c>
      <c r="E1821" s="4" t="str">
        <f>"045122010"</f>
        <v>045122010</v>
      </c>
      <c r="F1821" s="10">
        <v>40246</v>
      </c>
      <c r="G1821" s="11">
        <v>366.47</v>
      </c>
      <c r="H1821" s="11">
        <v>0</v>
      </c>
      <c r="I1821" s="4"/>
      <c r="J1821" s="4"/>
      <c r="K1821" s="11">
        <v>0</v>
      </c>
      <c r="L1821" s="4"/>
      <c r="M1821" s="4"/>
      <c r="N1821" s="11">
        <v>366.47</v>
      </c>
      <c r="O1821" s="4" t="s">
        <v>56</v>
      </c>
      <c r="P1821" s="4" t="s">
        <v>57</v>
      </c>
      <c r="Q1821" s="11">
        <v>0</v>
      </c>
      <c r="R1821" s="4"/>
      <c r="S1821" s="12"/>
    </row>
    <row r="1822" spans="1:19" x14ac:dyDescent="0.25">
      <c r="A1822" s="9" t="s">
        <v>1117</v>
      </c>
      <c r="B1822" s="9" t="s">
        <v>291</v>
      </c>
      <c r="C1822" s="4">
        <v>201002304</v>
      </c>
      <c r="D1822" s="4" t="s">
        <v>1314</v>
      </c>
      <c r="E1822" s="4" t="str">
        <f>"045342010"</f>
        <v>045342010</v>
      </c>
      <c r="F1822" s="10">
        <v>40248</v>
      </c>
      <c r="G1822" s="11">
        <v>532.9</v>
      </c>
      <c r="H1822" s="11">
        <v>0</v>
      </c>
      <c r="I1822" s="4"/>
      <c r="J1822" s="4"/>
      <c r="K1822" s="11">
        <v>0</v>
      </c>
      <c r="L1822" s="4"/>
      <c r="M1822" s="4"/>
      <c r="N1822" s="11">
        <v>532.9</v>
      </c>
      <c r="O1822" s="4" t="s">
        <v>56</v>
      </c>
      <c r="P1822" s="4" t="s">
        <v>57</v>
      </c>
      <c r="Q1822" s="11">
        <v>0</v>
      </c>
      <c r="R1822" s="4"/>
      <c r="S1822" s="12"/>
    </row>
    <row r="1823" spans="1:19" x14ac:dyDescent="0.25">
      <c r="A1823" s="9" t="s">
        <v>1117</v>
      </c>
      <c r="B1823" s="9" t="s">
        <v>291</v>
      </c>
      <c r="C1823" s="4">
        <v>201002314</v>
      </c>
      <c r="D1823" s="4" t="s">
        <v>1404</v>
      </c>
      <c r="E1823" s="4" t="str">
        <f>"047062010"</f>
        <v>047062010</v>
      </c>
      <c r="F1823" s="10">
        <v>40252</v>
      </c>
      <c r="G1823" s="11">
        <v>350</v>
      </c>
      <c r="H1823" s="11">
        <v>0</v>
      </c>
      <c r="I1823" s="4"/>
      <c r="J1823" s="4"/>
      <c r="K1823" s="11">
        <v>0</v>
      </c>
      <c r="L1823" s="4"/>
      <c r="M1823" s="4"/>
      <c r="N1823" s="11">
        <v>350</v>
      </c>
      <c r="O1823" s="4" t="s">
        <v>56</v>
      </c>
      <c r="P1823" s="4" t="s">
        <v>57</v>
      </c>
      <c r="Q1823" s="11">
        <v>0</v>
      </c>
      <c r="R1823" s="4"/>
      <c r="S1823" s="12"/>
    </row>
    <row r="1824" spans="1:19" x14ac:dyDescent="0.25">
      <c r="A1824" s="9" t="s">
        <v>1117</v>
      </c>
      <c r="B1824" s="9" t="s">
        <v>291</v>
      </c>
      <c r="C1824" s="4">
        <v>201002326</v>
      </c>
      <c r="D1824" s="4" t="s">
        <v>1405</v>
      </c>
      <c r="E1824" s="4" t="str">
        <f>"045962010"</f>
        <v>045962010</v>
      </c>
      <c r="F1824" s="10">
        <v>40249</v>
      </c>
      <c r="G1824" s="11">
        <v>357</v>
      </c>
      <c r="H1824" s="11">
        <v>0</v>
      </c>
      <c r="I1824" s="4"/>
      <c r="J1824" s="4"/>
      <c r="K1824" s="11">
        <v>0</v>
      </c>
      <c r="L1824" s="4"/>
      <c r="M1824" s="4"/>
      <c r="N1824" s="11">
        <v>357</v>
      </c>
      <c r="O1824" s="4" t="s">
        <v>56</v>
      </c>
      <c r="P1824" s="4" t="s">
        <v>57</v>
      </c>
      <c r="Q1824" s="11">
        <v>0</v>
      </c>
      <c r="R1824" s="4"/>
      <c r="S1824" s="12"/>
    </row>
    <row r="1825" spans="1:19" x14ac:dyDescent="0.25">
      <c r="A1825" s="9" t="s">
        <v>1117</v>
      </c>
      <c r="B1825" s="9" t="s">
        <v>291</v>
      </c>
      <c r="C1825" s="4">
        <v>201002335</v>
      </c>
      <c r="D1825" s="4" t="s">
        <v>1314</v>
      </c>
      <c r="E1825" s="4" t="str">
        <f>"047282010"</f>
        <v>047282010</v>
      </c>
      <c r="F1825" s="10">
        <v>40252</v>
      </c>
      <c r="G1825" s="11">
        <v>823.2</v>
      </c>
      <c r="H1825" s="11">
        <v>0</v>
      </c>
      <c r="I1825" s="4"/>
      <c r="J1825" s="4"/>
      <c r="K1825" s="11">
        <v>0</v>
      </c>
      <c r="L1825" s="4"/>
      <c r="M1825" s="4"/>
      <c r="N1825" s="11">
        <v>823.2</v>
      </c>
      <c r="O1825" s="4" t="s">
        <v>56</v>
      </c>
      <c r="P1825" s="4" t="s">
        <v>57</v>
      </c>
      <c r="Q1825" s="11">
        <v>0</v>
      </c>
      <c r="R1825" s="4"/>
      <c r="S1825" s="12"/>
    </row>
    <row r="1826" spans="1:19" x14ac:dyDescent="0.25">
      <c r="A1826" s="9" t="s">
        <v>1117</v>
      </c>
      <c r="B1826" s="9" t="s">
        <v>291</v>
      </c>
      <c r="C1826" s="4">
        <v>201002337</v>
      </c>
      <c r="D1826" s="4" t="s">
        <v>1317</v>
      </c>
      <c r="E1826" s="4" t="str">
        <f>"047442010"</f>
        <v>047442010</v>
      </c>
      <c r="F1826" s="10">
        <v>40252</v>
      </c>
      <c r="G1826" s="11">
        <v>17.600000000000001</v>
      </c>
      <c r="H1826" s="11">
        <v>0</v>
      </c>
      <c r="I1826" s="4"/>
      <c r="J1826" s="4"/>
      <c r="K1826" s="11">
        <v>0</v>
      </c>
      <c r="L1826" s="4"/>
      <c r="M1826" s="4"/>
      <c r="N1826" s="11">
        <v>17.600000000000001</v>
      </c>
      <c r="O1826" s="4" t="s">
        <v>56</v>
      </c>
      <c r="P1826" s="4" t="s">
        <v>57</v>
      </c>
      <c r="Q1826" s="11">
        <v>0</v>
      </c>
      <c r="R1826" s="4"/>
      <c r="S1826" s="12"/>
    </row>
    <row r="1827" spans="1:19" x14ac:dyDescent="0.25">
      <c r="A1827" s="9" t="s">
        <v>1117</v>
      </c>
      <c r="B1827" s="9" t="s">
        <v>291</v>
      </c>
      <c r="C1827" s="4">
        <v>201002338</v>
      </c>
      <c r="D1827" s="4" t="s">
        <v>1391</v>
      </c>
      <c r="E1827" s="4" t="str">
        <f>"048562010"</f>
        <v>048562010</v>
      </c>
      <c r="F1827" s="10">
        <v>40255</v>
      </c>
      <c r="G1827" s="11">
        <v>350</v>
      </c>
      <c r="H1827" s="11">
        <v>0</v>
      </c>
      <c r="I1827" s="4"/>
      <c r="J1827" s="4"/>
      <c r="K1827" s="11">
        <v>0</v>
      </c>
      <c r="L1827" s="4"/>
      <c r="M1827" s="4"/>
      <c r="N1827" s="11">
        <v>350</v>
      </c>
      <c r="O1827" s="4" t="s">
        <v>56</v>
      </c>
      <c r="P1827" s="4" t="s">
        <v>57</v>
      </c>
      <c r="Q1827" s="11">
        <v>0</v>
      </c>
      <c r="R1827" s="4"/>
      <c r="S1827" s="12"/>
    </row>
    <row r="1828" spans="1:19" x14ac:dyDescent="0.25">
      <c r="A1828" s="9" t="s">
        <v>1117</v>
      </c>
      <c r="B1828" s="9" t="s">
        <v>291</v>
      </c>
      <c r="C1828" s="4">
        <v>201002344</v>
      </c>
      <c r="D1828" s="4" t="s">
        <v>1406</v>
      </c>
      <c r="E1828" s="4" t="str">
        <f>"046282010"</f>
        <v>046282010</v>
      </c>
      <c r="F1828" s="10">
        <v>40249</v>
      </c>
      <c r="G1828" s="11">
        <v>350</v>
      </c>
      <c r="H1828" s="11">
        <v>0</v>
      </c>
      <c r="I1828" s="4"/>
      <c r="J1828" s="4"/>
      <c r="K1828" s="11">
        <v>0</v>
      </c>
      <c r="L1828" s="4"/>
      <c r="M1828" s="4"/>
      <c r="N1828" s="11">
        <v>350</v>
      </c>
      <c r="O1828" s="4" t="s">
        <v>56</v>
      </c>
      <c r="P1828" s="4" t="s">
        <v>57</v>
      </c>
      <c r="Q1828" s="11">
        <v>0</v>
      </c>
      <c r="R1828" s="4"/>
      <c r="S1828" s="12"/>
    </row>
    <row r="1829" spans="1:19" x14ac:dyDescent="0.25">
      <c r="A1829" s="9" t="s">
        <v>1117</v>
      </c>
      <c r="B1829" s="9" t="s">
        <v>291</v>
      </c>
      <c r="C1829" s="4">
        <v>201002354</v>
      </c>
      <c r="D1829" s="4" t="s">
        <v>1407</v>
      </c>
      <c r="E1829" s="4" t="str">
        <f>"046222010"</f>
        <v>046222010</v>
      </c>
      <c r="F1829" s="10">
        <v>40249</v>
      </c>
      <c r="G1829" s="11">
        <v>350</v>
      </c>
      <c r="H1829" s="11">
        <v>0</v>
      </c>
      <c r="I1829" s="4"/>
      <c r="J1829" s="4"/>
      <c r="K1829" s="11">
        <v>0</v>
      </c>
      <c r="L1829" s="4"/>
      <c r="M1829" s="4"/>
      <c r="N1829" s="11">
        <v>350</v>
      </c>
      <c r="O1829" s="4" t="s">
        <v>56</v>
      </c>
      <c r="P1829" s="4" t="s">
        <v>57</v>
      </c>
      <c r="Q1829" s="11">
        <v>0</v>
      </c>
      <c r="R1829" s="4"/>
      <c r="S1829" s="12"/>
    </row>
    <row r="1830" spans="1:19" x14ac:dyDescent="0.25">
      <c r="A1830" s="9" t="s">
        <v>1117</v>
      </c>
      <c r="B1830" s="9" t="s">
        <v>291</v>
      </c>
      <c r="C1830" s="4">
        <v>201002363</v>
      </c>
      <c r="D1830" s="4" t="s">
        <v>1408</v>
      </c>
      <c r="E1830" s="4" t="str">
        <f>"047302010"</f>
        <v>047302010</v>
      </c>
      <c r="F1830" s="10">
        <v>40252</v>
      </c>
      <c r="G1830" s="11">
        <v>350</v>
      </c>
      <c r="H1830" s="11">
        <v>0</v>
      </c>
      <c r="I1830" s="4"/>
      <c r="J1830" s="4"/>
      <c r="K1830" s="11">
        <v>0</v>
      </c>
      <c r="L1830" s="4"/>
      <c r="M1830" s="4"/>
      <c r="N1830" s="11">
        <v>350</v>
      </c>
      <c r="O1830" s="4" t="s">
        <v>56</v>
      </c>
      <c r="P1830" s="4" t="s">
        <v>57</v>
      </c>
      <c r="Q1830" s="11">
        <v>0</v>
      </c>
      <c r="R1830" s="4"/>
      <c r="S1830" s="12"/>
    </row>
    <row r="1831" spans="1:19" x14ac:dyDescent="0.25">
      <c r="A1831" s="9" t="s">
        <v>1117</v>
      </c>
      <c r="B1831" s="9" t="s">
        <v>291</v>
      </c>
      <c r="C1831" s="4">
        <v>201002379</v>
      </c>
      <c r="D1831" s="4" t="s">
        <v>1134</v>
      </c>
      <c r="E1831" s="4" t="str">
        <f>"046802010"</f>
        <v>046802010</v>
      </c>
      <c r="F1831" s="10">
        <v>40252</v>
      </c>
      <c r="G1831" s="11">
        <v>350</v>
      </c>
      <c r="H1831" s="11">
        <v>0</v>
      </c>
      <c r="I1831" s="4"/>
      <c r="J1831" s="4"/>
      <c r="K1831" s="11">
        <v>0</v>
      </c>
      <c r="L1831" s="4"/>
      <c r="M1831" s="4"/>
      <c r="N1831" s="11">
        <v>350</v>
      </c>
      <c r="O1831" s="4" t="s">
        <v>56</v>
      </c>
      <c r="P1831" s="4" t="s">
        <v>57</v>
      </c>
      <c r="Q1831" s="11">
        <v>0</v>
      </c>
      <c r="R1831" s="4"/>
      <c r="S1831" s="12"/>
    </row>
    <row r="1832" spans="1:19" x14ac:dyDescent="0.25">
      <c r="A1832" s="9" t="s">
        <v>1117</v>
      </c>
      <c r="B1832" s="9" t="s">
        <v>291</v>
      </c>
      <c r="C1832" s="4">
        <v>201002382</v>
      </c>
      <c r="D1832" s="4" t="s">
        <v>1409</v>
      </c>
      <c r="E1832" s="4" t="str">
        <f>"046522010"</f>
        <v>046522010</v>
      </c>
      <c r="F1832" s="10">
        <v>40252</v>
      </c>
      <c r="G1832" s="11">
        <v>350</v>
      </c>
      <c r="H1832" s="11">
        <v>0</v>
      </c>
      <c r="I1832" s="4"/>
      <c r="J1832" s="4"/>
      <c r="K1832" s="11">
        <v>0</v>
      </c>
      <c r="L1832" s="4"/>
      <c r="M1832" s="4"/>
      <c r="N1832" s="11">
        <v>350</v>
      </c>
      <c r="O1832" s="4" t="s">
        <v>56</v>
      </c>
      <c r="P1832" s="4" t="s">
        <v>57</v>
      </c>
      <c r="Q1832" s="11">
        <v>0</v>
      </c>
      <c r="R1832" s="4"/>
      <c r="S1832" s="12"/>
    </row>
    <row r="1833" spans="1:19" x14ac:dyDescent="0.25">
      <c r="A1833" s="9" t="s">
        <v>1117</v>
      </c>
      <c r="B1833" s="9" t="s">
        <v>291</v>
      </c>
      <c r="C1833" s="4">
        <v>201002385</v>
      </c>
      <c r="D1833" s="4" t="s">
        <v>1410</v>
      </c>
      <c r="E1833" s="4" t="str">
        <f>"047102010"</f>
        <v>047102010</v>
      </c>
      <c r="F1833" s="10">
        <v>40252</v>
      </c>
      <c r="G1833" s="11">
        <v>367.57</v>
      </c>
      <c r="H1833" s="11">
        <v>0</v>
      </c>
      <c r="I1833" s="4"/>
      <c r="J1833" s="4"/>
      <c r="K1833" s="11">
        <v>0</v>
      </c>
      <c r="L1833" s="4"/>
      <c r="M1833" s="4"/>
      <c r="N1833" s="11">
        <v>367.57</v>
      </c>
      <c r="O1833" s="4" t="s">
        <v>308</v>
      </c>
      <c r="P1833" s="4" t="s">
        <v>309</v>
      </c>
      <c r="Q1833" s="11">
        <v>0</v>
      </c>
      <c r="R1833" s="4"/>
      <c r="S1833" s="12"/>
    </row>
    <row r="1834" spans="1:19" x14ac:dyDescent="0.25">
      <c r="A1834" s="9" t="s">
        <v>1117</v>
      </c>
      <c r="B1834" s="9" t="s">
        <v>291</v>
      </c>
      <c r="C1834" s="4">
        <v>201002426</v>
      </c>
      <c r="D1834" s="4" t="s">
        <v>1411</v>
      </c>
      <c r="E1834" s="4" t="str">
        <f>"048302010"</f>
        <v>048302010</v>
      </c>
      <c r="F1834" s="10">
        <v>40255</v>
      </c>
      <c r="G1834" s="11">
        <v>350</v>
      </c>
      <c r="H1834" s="11">
        <v>0</v>
      </c>
      <c r="I1834" s="4"/>
      <c r="J1834" s="4"/>
      <c r="K1834" s="11">
        <v>0</v>
      </c>
      <c r="L1834" s="4"/>
      <c r="M1834" s="4"/>
      <c r="N1834" s="11">
        <v>350</v>
      </c>
      <c r="O1834" s="4" t="s">
        <v>56</v>
      </c>
      <c r="P1834" s="4" t="s">
        <v>57</v>
      </c>
      <c r="Q1834" s="11">
        <v>0</v>
      </c>
      <c r="R1834" s="4"/>
      <c r="S1834" s="12"/>
    </row>
    <row r="1835" spans="1:19" x14ac:dyDescent="0.25">
      <c r="A1835" s="9" t="s">
        <v>1117</v>
      </c>
      <c r="B1835" s="9" t="s">
        <v>291</v>
      </c>
      <c r="C1835" s="4">
        <v>201002431</v>
      </c>
      <c r="D1835" s="4" t="s">
        <v>1412</v>
      </c>
      <c r="E1835" s="4" t="str">
        <f>"053002010"</f>
        <v>053002010</v>
      </c>
      <c r="F1835" s="10">
        <v>40276</v>
      </c>
      <c r="G1835" s="11">
        <v>368.55</v>
      </c>
      <c r="H1835" s="11">
        <v>0</v>
      </c>
      <c r="I1835" s="4"/>
      <c r="J1835" s="4"/>
      <c r="K1835" s="11">
        <v>0</v>
      </c>
      <c r="L1835" s="4"/>
      <c r="M1835" s="4"/>
      <c r="N1835" s="11">
        <v>368.55</v>
      </c>
      <c r="O1835" s="4" t="s">
        <v>56</v>
      </c>
      <c r="P1835" s="4" t="s">
        <v>57</v>
      </c>
      <c r="Q1835" s="11">
        <v>0</v>
      </c>
      <c r="R1835" s="4"/>
      <c r="S1835" s="12"/>
    </row>
    <row r="1836" spans="1:19" x14ac:dyDescent="0.25">
      <c r="A1836" s="9" t="s">
        <v>1117</v>
      </c>
      <c r="B1836" s="9" t="s">
        <v>1117</v>
      </c>
      <c r="C1836" s="4">
        <v>201002432</v>
      </c>
      <c r="D1836" s="4" t="s">
        <v>1413</v>
      </c>
      <c r="E1836" s="4" t="str">
        <f>"048322010"</f>
        <v>048322010</v>
      </c>
      <c r="F1836" s="10">
        <v>40255</v>
      </c>
      <c r="G1836" s="11">
        <v>350</v>
      </c>
      <c r="H1836" s="11">
        <v>0</v>
      </c>
      <c r="I1836" s="4"/>
      <c r="J1836" s="4"/>
      <c r="K1836" s="11">
        <v>0</v>
      </c>
      <c r="L1836" s="4"/>
      <c r="M1836" s="4"/>
      <c r="N1836" s="11">
        <v>350</v>
      </c>
      <c r="O1836" s="4" t="s">
        <v>56</v>
      </c>
      <c r="P1836" s="4" t="s">
        <v>57</v>
      </c>
      <c r="Q1836" s="11">
        <v>0</v>
      </c>
      <c r="R1836" s="4"/>
      <c r="S1836" s="12"/>
    </row>
    <row r="1837" spans="1:19" x14ac:dyDescent="0.25">
      <c r="A1837" s="9" t="s">
        <v>1117</v>
      </c>
      <c r="B1837" s="9" t="s">
        <v>291</v>
      </c>
      <c r="C1837" s="4">
        <v>201002439</v>
      </c>
      <c r="D1837" s="4" t="s">
        <v>1414</v>
      </c>
      <c r="E1837" s="4" t="str">
        <f>"048442010"</f>
        <v>048442010</v>
      </c>
      <c r="F1837" s="10">
        <v>40254</v>
      </c>
      <c r="G1837" s="11">
        <v>350</v>
      </c>
      <c r="H1837" s="11">
        <v>0</v>
      </c>
      <c r="I1837" s="4"/>
      <c r="J1837" s="4"/>
      <c r="K1837" s="11">
        <v>0</v>
      </c>
      <c r="L1837" s="4"/>
      <c r="M1837" s="4"/>
      <c r="N1837" s="11">
        <v>350</v>
      </c>
      <c r="O1837" s="4" t="s">
        <v>56</v>
      </c>
      <c r="P1837" s="4" t="s">
        <v>57</v>
      </c>
      <c r="Q1837" s="11">
        <v>0</v>
      </c>
      <c r="R1837" s="4"/>
      <c r="S1837" s="12"/>
    </row>
    <row r="1838" spans="1:19" x14ac:dyDescent="0.25">
      <c r="A1838" s="9" t="s">
        <v>1117</v>
      </c>
      <c r="B1838" s="9" t="s">
        <v>291</v>
      </c>
      <c r="C1838" s="4">
        <v>201002456</v>
      </c>
      <c r="D1838" s="4" t="s">
        <v>1415</v>
      </c>
      <c r="E1838" s="4" t="str">
        <f>"086072010"</f>
        <v>086072010</v>
      </c>
      <c r="F1838" s="10">
        <v>40357</v>
      </c>
      <c r="G1838" s="11">
        <v>350</v>
      </c>
      <c r="H1838" s="11">
        <v>0</v>
      </c>
      <c r="I1838" s="4"/>
      <c r="J1838" s="4"/>
      <c r="K1838" s="11">
        <v>0</v>
      </c>
      <c r="L1838" s="4"/>
      <c r="M1838" s="4"/>
      <c r="N1838" s="11">
        <v>350</v>
      </c>
      <c r="O1838" s="4" t="s">
        <v>56</v>
      </c>
      <c r="P1838" s="4" t="s">
        <v>57</v>
      </c>
      <c r="Q1838" s="11">
        <v>0</v>
      </c>
      <c r="R1838" s="4"/>
      <c r="S1838" s="12"/>
    </row>
    <row r="1839" spans="1:19" x14ac:dyDescent="0.25">
      <c r="A1839" s="9" t="s">
        <v>1117</v>
      </c>
      <c r="B1839" s="9" t="s">
        <v>291</v>
      </c>
      <c r="C1839" s="4">
        <v>201002470</v>
      </c>
      <c r="D1839" s="4"/>
      <c r="E1839" s="4" t="str">
        <f>"049382010"</f>
        <v>049382010</v>
      </c>
      <c r="F1839" s="10">
        <v>40260</v>
      </c>
      <c r="G1839" s="11">
        <v>360</v>
      </c>
      <c r="H1839" s="11">
        <v>0</v>
      </c>
      <c r="I1839" s="4"/>
      <c r="J1839" s="4"/>
      <c r="K1839" s="11">
        <v>0</v>
      </c>
      <c r="L1839" s="4"/>
      <c r="M1839" s="4"/>
      <c r="N1839" s="11">
        <v>360</v>
      </c>
      <c r="O1839" s="4" t="s">
        <v>56</v>
      </c>
      <c r="P1839" s="4" t="s">
        <v>57</v>
      </c>
      <c r="Q1839" s="11">
        <v>0</v>
      </c>
      <c r="R1839" s="4"/>
      <c r="S1839" s="12"/>
    </row>
    <row r="1840" spans="1:19" x14ac:dyDescent="0.25">
      <c r="A1840" s="9" t="s">
        <v>1117</v>
      </c>
      <c r="B1840" s="9" t="s">
        <v>291</v>
      </c>
      <c r="C1840" s="4">
        <v>201002476</v>
      </c>
      <c r="D1840" s="4" t="s">
        <v>1416</v>
      </c>
      <c r="E1840" s="4" t="str">
        <f>"053302010"</f>
        <v>053302010</v>
      </c>
      <c r="F1840" s="10">
        <v>40270</v>
      </c>
      <c r="G1840" s="11">
        <v>86159.039999999994</v>
      </c>
      <c r="H1840" s="11">
        <v>86159.039999999994</v>
      </c>
      <c r="I1840" s="4" t="s">
        <v>88</v>
      </c>
      <c r="J1840" s="4" t="s">
        <v>89</v>
      </c>
      <c r="K1840" s="11">
        <v>0</v>
      </c>
      <c r="L1840" s="4"/>
      <c r="M1840" s="4"/>
      <c r="N1840" s="11">
        <v>0</v>
      </c>
      <c r="O1840" s="4"/>
      <c r="P1840" s="4"/>
      <c r="Q1840" s="11">
        <v>0</v>
      </c>
      <c r="R1840" s="4"/>
      <c r="S1840" s="12"/>
    </row>
    <row r="1841" spans="1:19" x14ac:dyDescent="0.25">
      <c r="A1841" s="9" t="s">
        <v>1117</v>
      </c>
      <c r="B1841" s="9" t="s">
        <v>291</v>
      </c>
      <c r="C1841" s="4">
        <v>201002495</v>
      </c>
      <c r="D1841" s="4" t="s">
        <v>1417</v>
      </c>
      <c r="E1841" s="4" t="str">
        <f>"050282010"</f>
        <v>050282010</v>
      </c>
      <c r="F1841" s="10">
        <v>40263</v>
      </c>
      <c r="G1841" s="11">
        <v>366.14</v>
      </c>
      <c r="H1841" s="11">
        <v>0</v>
      </c>
      <c r="I1841" s="4"/>
      <c r="J1841" s="4"/>
      <c r="K1841" s="11">
        <v>0</v>
      </c>
      <c r="L1841" s="4"/>
      <c r="M1841" s="4"/>
      <c r="N1841" s="11">
        <v>366.14</v>
      </c>
      <c r="O1841" s="4" t="s">
        <v>56</v>
      </c>
      <c r="P1841" s="4" t="s">
        <v>57</v>
      </c>
      <c r="Q1841" s="11">
        <v>0</v>
      </c>
      <c r="R1841" s="4"/>
      <c r="S1841" s="12"/>
    </row>
    <row r="1842" spans="1:19" x14ac:dyDescent="0.25">
      <c r="A1842" s="9" t="s">
        <v>1117</v>
      </c>
      <c r="B1842" s="9" t="s">
        <v>291</v>
      </c>
      <c r="C1842" s="4">
        <v>201002498</v>
      </c>
      <c r="D1842" s="4" t="s">
        <v>1412</v>
      </c>
      <c r="E1842" s="4" t="str">
        <f>"051802010"</f>
        <v>051802010</v>
      </c>
      <c r="F1842" s="10">
        <v>40263</v>
      </c>
      <c r="G1842" s="11">
        <v>368.84</v>
      </c>
      <c r="H1842" s="11">
        <v>0</v>
      </c>
      <c r="I1842" s="4"/>
      <c r="J1842" s="4"/>
      <c r="K1842" s="11">
        <v>0</v>
      </c>
      <c r="L1842" s="4"/>
      <c r="M1842" s="4"/>
      <c r="N1842" s="11">
        <v>368.84</v>
      </c>
      <c r="O1842" s="4" t="s">
        <v>56</v>
      </c>
      <c r="P1842" s="4" t="s">
        <v>57</v>
      </c>
      <c r="Q1842" s="11">
        <v>0</v>
      </c>
      <c r="R1842" s="4"/>
      <c r="S1842" s="12"/>
    </row>
    <row r="1843" spans="1:19" x14ac:dyDescent="0.25">
      <c r="A1843" s="9" t="s">
        <v>1117</v>
      </c>
      <c r="B1843" s="9" t="s">
        <v>291</v>
      </c>
      <c r="C1843" s="4">
        <v>201002524</v>
      </c>
      <c r="D1843" s="4" t="s">
        <v>1391</v>
      </c>
      <c r="E1843" s="4" t="str">
        <f>"049842010"</f>
        <v>049842010</v>
      </c>
      <c r="F1843" s="10">
        <v>40262</v>
      </c>
      <c r="G1843" s="11">
        <v>350</v>
      </c>
      <c r="H1843" s="11">
        <v>0</v>
      </c>
      <c r="I1843" s="4"/>
      <c r="J1843" s="4"/>
      <c r="K1843" s="11">
        <v>0</v>
      </c>
      <c r="L1843" s="4"/>
      <c r="M1843" s="4"/>
      <c r="N1843" s="11">
        <v>350</v>
      </c>
      <c r="O1843" s="4" t="s">
        <v>56</v>
      </c>
      <c r="P1843" s="4" t="s">
        <v>57</v>
      </c>
      <c r="Q1843" s="11">
        <v>0</v>
      </c>
      <c r="R1843" s="4"/>
      <c r="S1843" s="12"/>
    </row>
    <row r="1844" spans="1:19" x14ac:dyDescent="0.25">
      <c r="A1844" s="9" t="s">
        <v>1117</v>
      </c>
      <c r="B1844" s="9" t="s">
        <v>291</v>
      </c>
      <c r="C1844" s="4">
        <v>201002527</v>
      </c>
      <c r="D1844" s="4" t="s">
        <v>1418</v>
      </c>
      <c r="E1844" s="4" t="str">
        <f>"049982010"</f>
        <v>049982010</v>
      </c>
      <c r="F1844" s="10">
        <v>40262</v>
      </c>
      <c r="G1844" s="11">
        <v>20.25</v>
      </c>
      <c r="H1844" s="11">
        <v>0</v>
      </c>
      <c r="I1844" s="4"/>
      <c r="J1844" s="4"/>
      <c r="K1844" s="11">
        <v>0</v>
      </c>
      <c r="L1844" s="4"/>
      <c r="M1844" s="4"/>
      <c r="N1844" s="11">
        <v>20.25</v>
      </c>
      <c r="O1844" s="4" t="s">
        <v>56</v>
      </c>
      <c r="P1844" s="4" t="s">
        <v>57</v>
      </c>
      <c r="Q1844" s="11">
        <v>0</v>
      </c>
      <c r="R1844" s="4"/>
      <c r="S1844" s="12"/>
    </row>
    <row r="1845" spans="1:19" x14ac:dyDescent="0.25">
      <c r="A1845" s="9" t="s">
        <v>1117</v>
      </c>
      <c r="B1845" s="9" t="s">
        <v>291</v>
      </c>
      <c r="C1845" s="4">
        <v>201002528</v>
      </c>
      <c r="D1845" s="4" t="s">
        <v>1419</v>
      </c>
      <c r="E1845" s="4" t="str">
        <f>"050042010"</f>
        <v>050042010</v>
      </c>
      <c r="F1845" s="10">
        <v>40262</v>
      </c>
      <c r="G1845" s="11">
        <v>350</v>
      </c>
      <c r="H1845" s="11">
        <v>0</v>
      </c>
      <c r="I1845" s="4"/>
      <c r="J1845" s="4"/>
      <c r="K1845" s="11">
        <v>0</v>
      </c>
      <c r="L1845" s="4"/>
      <c r="M1845" s="4"/>
      <c r="N1845" s="11">
        <v>350</v>
      </c>
      <c r="O1845" s="4" t="s">
        <v>308</v>
      </c>
      <c r="P1845" s="4" t="s">
        <v>309</v>
      </c>
      <c r="Q1845" s="11">
        <v>0</v>
      </c>
      <c r="R1845" s="4"/>
      <c r="S1845" s="12"/>
    </row>
    <row r="1846" spans="1:19" x14ac:dyDescent="0.25">
      <c r="A1846" s="9" t="s">
        <v>1117</v>
      </c>
      <c r="B1846" s="9" t="s">
        <v>291</v>
      </c>
      <c r="C1846" s="4">
        <v>201002529</v>
      </c>
      <c r="D1846" s="4" t="s">
        <v>1420</v>
      </c>
      <c r="E1846" s="4" t="str">
        <f>"050142010"</f>
        <v>050142010</v>
      </c>
      <c r="F1846" s="10">
        <v>40262</v>
      </c>
      <c r="G1846" s="11">
        <v>350</v>
      </c>
      <c r="H1846" s="11">
        <v>0</v>
      </c>
      <c r="I1846" s="4"/>
      <c r="J1846" s="4"/>
      <c r="K1846" s="11">
        <v>0</v>
      </c>
      <c r="L1846" s="4"/>
      <c r="M1846" s="4"/>
      <c r="N1846" s="11">
        <v>350</v>
      </c>
      <c r="O1846" s="4" t="s">
        <v>56</v>
      </c>
      <c r="P1846" s="4" t="s">
        <v>57</v>
      </c>
      <c r="Q1846" s="11">
        <v>0</v>
      </c>
      <c r="R1846" s="4"/>
      <c r="S1846" s="12"/>
    </row>
    <row r="1847" spans="1:19" x14ac:dyDescent="0.25">
      <c r="A1847" s="9" t="s">
        <v>1117</v>
      </c>
      <c r="B1847" s="9" t="s">
        <v>291</v>
      </c>
      <c r="C1847" s="4">
        <v>201002530</v>
      </c>
      <c r="D1847" s="4" t="s">
        <v>1421</v>
      </c>
      <c r="E1847" s="4" t="str">
        <f>"050122010"</f>
        <v>050122010</v>
      </c>
      <c r="F1847" s="10">
        <v>40262</v>
      </c>
      <c r="G1847" s="11">
        <v>350</v>
      </c>
      <c r="H1847" s="11">
        <v>0</v>
      </c>
      <c r="I1847" s="4"/>
      <c r="J1847" s="4"/>
      <c r="K1847" s="11">
        <v>0</v>
      </c>
      <c r="L1847" s="4"/>
      <c r="M1847" s="4"/>
      <c r="N1847" s="11">
        <v>350</v>
      </c>
      <c r="O1847" s="4" t="s">
        <v>56</v>
      </c>
      <c r="P1847" s="4" t="s">
        <v>57</v>
      </c>
      <c r="Q1847" s="11">
        <v>0</v>
      </c>
      <c r="R1847" s="4"/>
      <c r="S1847" s="12"/>
    </row>
    <row r="1848" spans="1:19" x14ac:dyDescent="0.25">
      <c r="A1848" s="9" t="s">
        <v>1117</v>
      </c>
      <c r="B1848" s="9" t="s">
        <v>291</v>
      </c>
      <c r="C1848" s="4">
        <v>201002531</v>
      </c>
      <c r="D1848" s="4" t="s">
        <v>1194</v>
      </c>
      <c r="E1848" s="4" t="str">
        <f>"050062010"</f>
        <v>050062010</v>
      </c>
      <c r="F1848" s="10">
        <v>40262</v>
      </c>
      <c r="G1848" s="11">
        <v>350</v>
      </c>
      <c r="H1848" s="11">
        <v>0</v>
      </c>
      <c r="I1848" s="4"/>
      <c r="J1848" s="4"/>
      <c r="K1848" s="11">
        <v>0</v>
      </c>
      <c r="L1848" s="4"/>
      <c r="M1848" s="4"/>
      <c r="N1848" s="11">
        <v>350</v>
      </c>
      <c r="O1848" s="4" t="s">
        <v>308</v>
      </c>
      <c r="P1848" s="4" t="s">
        <v>309</v>
      </c>
      <c r="Q1848" s="11">
        <v>0</v>
      </c>
      <c r="R1848" s="4"/>
      <c r="S1848" s="12"/>
    </row>
    <row r="1849" spans="1:19" x14ac:dyDescent="0.25">
      <c r="A1849" s="9" t="s">
        <v>1117</v>
      </c>
      <c r="B1849" s="9" t="s">
        <v>291</v>
      </c>
      <c r="C1849" s="4">
        <v>201002532</v>
      </c>
      <c r="D1849" s="4" t="s">
        <v>1422</v>
      </c>
      <c r="E1849" s="4" t="str">
        <f>"050102010"</f>
        <v>050102010</v>
      </c>
      <c r="F1849" s="10">
        <v>40262</v>
      </c>
      <c r="G1849" s="11">
        <v>350</v>
      </c>
      <c r="H1849" s="11">
        <v>0</v>
      </c>
      <c r="I1849" s="4"/>
      <c r="J1849" s="4"/>
      <c r="K1849" s="11">
        <v>0</v>
      </c>
      <c r="L1849" s="4"/>
      <c r="M1849" s="4"/>
      <c r="N1849" s="11">
        <v>350</v>
      </c>
      <c r="O1849" s="4" t="s">
        <v>56</v>
      </c>
      <c r="P1849" s="4" t="s">
        <v>57</v>
      </c>
      <c r="Q1849" s="11">
        <v>0</v>
      </c>
      <c r="R1849" s="4"/>
      <c r="S1849" s="12"/>
    </row>
    <row r="1850" spans="1:19" x14ac:dyDescent="0.25">
      <c r="A1850" s="9" t="s">
        <v>1117</v>
      </c>
      <c r="B1850" s="9" t="s">
        <v>291</v>
      </c>
      <c r="C1850" s="4">
        <v>201002535</v>
      </c>
      <c r="D1850" s="4" t="s">
        <v>1423</v>
      </c>
      <c r="E1850" s="4" t="str">
        <f>"050262010"</f>
        <v>050262010</v>
      </c>
      <c r="F1850" s="10">
        <v>40262</v>
      </c>
      <c r="G1850" s="11">
        <v>350</v>
      </c>
      <c r="H1850" s="11">
        <v>0</v>
      </c>
      <c r="I1850" s="4"/>
      <c r="J1850" s="4"/>
      <c r="K1850" s="11">
        <v>0</v>
      </c>
      <c r="L1850" s="4"/>
      <c r="M1850" s="4"/>
      <c r="N1850" s="11">
        <v>350</v>
      </c>
      <c r="O1850" s="4" t="s">
        <v>56</v>
      </c>
      <c r="P1850" s="4" t="s">
        <v>57</v>
      </c>
      <c r="Q1850" s="11">
        <v>0</v>
      </c>
      <c r="R1850" s="4"/>
      <c r="S1850" s="12"/>
    </row>
    <row r="1851" spans="1:19" x14ac:dyDescent="0.25">
      <c r="A1851" s="9" t="s">
        <v>1117</v>
      </c>
      <c r="B1851" s="9" t="s">
        <v>291</v>
      </c>
      <c r="C1851" s="4">
        <v>201002539</v>
      </c>
      <c r="D1851" s="4" t="s">
        <v>1424</v>
      </c>
      <c r="E1851" s="4" t="str">
        <f>"050242010"</f>
        <v>050242010</v>
      </c>
      <c r="F1851" s="10">
        <v>40262</v>
      </c>
      <c r="G1851" s="11">
        <v>400.75</v>
      </c>
      <c r="H1851" s="11">
        <v>0</v>
      </c>
      <c r="I1851" s="4"/>
      <c r="J1851" s="4"/>
      <c r="K1851" s="11">
        <v>0</v>
      </c>
      <c r="L1851" s="4"/>
      <c r="M1851" s="4"/>
      <c r="N1851" s="11">
        <v>400.75</v>
      </c>
      <c r="O1851" s="4" t="s">
        <v>56</v>
      </c>
      <c r="P1851" s="4" t="s">
        <v>57</v>
      </c>
      <c r="Q1851" s="11">
        <v>0</v>
      </c>
      <c r="R1851" s="4"/>
      <c r="S1851" s="12"/>
    </row>
    <row r="1852" spans="1:19" x14ac:dyDescent="0.25">
      <c r="A1852" s="9" t="s">
        <v>1117</v>
      </c>
      <c r="B1852" s="9" t="s">
        <v>291</v>
      </c>
      <c r="C1852" s="4">
        <v>201002541</v>
      </c>
      <c r="D1852" s="4" t="s">
        <v>1425</v>
      </c>
      <c r="E1852" s="4" t="str">
        <f>"050202010"</f>
        <v>050202010</v>
      </c>
      <c r="F1852" s="10">
        <v>40262</v>
      </c>
      <c r="G1852" s="11">
        <v>356.6</v>
      </c>
      <c r="H1852" s="11">
        <v>0</v>
      </c>
      <c r="I1852" s="4"/>
      <c r="J1852" s="4"/>
      <c r="K1852" s="11">
        <v>0</v>
      </c>
      <c r="L1852" s="4"/>
      <c r="M1852" s="4"/>
      <c r="N1852" s="11">
        <v>356.6</v>
      </c>
      <c r="O1852" s="4" t="s">
        <v>56</v>
      </c>
      <c r="P1852" s="4" t="s">
        <v>57</v>
      </c>
      <c r="Q1852" s="11">
        <v>0</v>
      </c>
      <c r="R1852" s="4"/>
      <c r="S1852" s="12"/>
    </row>
    <row r="1853" spans="1:19" x14ac:dyDescent="0.25">
      <c r="A1853" s="9" t="s">
        <v>1117</v>
      </c>
      <c r="B1853" s="9" t="s">
        <v>291</v>
      </c>
      <c r="C1853" s="4">
        <v>201002543</v>
      </c>
      <c r="D1853" s="4" t="s">
        <v>1426</v>
      </c>
      <c r="E1853" s="4" t="str">
        <f>"050342010"</f>
        <v>050342010</v>
      </c>
      <c r="F1853" s="10">
        <v>40263</v>
      </c>
      <c r="G1853" s="11">
        <v>350</v>
      </c>
      <c r="H1853" s="11">
        <v>0</v>
      </c>
      <c r="I1853" s="4"/>
      <c r="J1853" s="4"/>
      <c r="K1853" s="11">
        <v>0</v>
      </c>
      <c r="L1853" s="4"/>
      <c r="M1853" s="4"/>
      <c r="N1853" s="11">
        <v>350</v>
      </c>
      <c r="O1853" s="4" t="s">
        <v>56</v>
      </c>
      <c r="P1853" s="4" t="s">
        <v>57</v>
      </c>
      <c r="Q1853" s="11">
        <v>0</v>
      </c>
      <c r="R1853" s="4"/>
      <c r="S1853" s="12"/>
    </row>
    <row r="1854" spans="1:19" x14ac:dyDescent="0.25">
      <c r="A1854" s="9" t="s">
        <v>1117</v>
      </c>
      <c r="B1854" s="9" t="s">
        <v>291</v>
      </c>
      <c r="C1854" s="4">
        <v>201002545</v>
      </c>
      <c r="D1854" s="4" t="s">
        <v>1427</v>
      </c>
      <c r="E1854" s="4" t="str">
        <f>"050322010"</f>
        <v>050322010</v>
      </c>
      <c r="F1854" s="10">
        <v>40263</v>
      </c>
      <c r="G1854" s="11">
        <v>355.55</v>
      </c>
      <c r="H1854" s="11">
        <v>0</v>
      </c>
      <c r="I1854" s="4"/>
      <c r="J1854" s="4"/>
      <c r="K1854" s="11">
        <v>0</v>
      </c>
      <c r="L1854" s="4"/>
      <c r="M1854" s="4"/>
      <c r="N1854" s="11">
        <v>355.55</v>
      </c>
      <c r="O1854" s="4" t="s">
        <v>56</v>
      </c>
      <c r="P1854" s="4" t="s">
        <v>57</v>
      </c>
      <c r="Q1854" s="11">
        <v>0</v>
      </c>
      <c r="R1854" s="4"/>
      <c r="S1854" s="12"/>
    </row>
    <row r="1855" spans="1:19" x14ac:dyDescent="0.25">
      <c r="A1855" s="9" t="s">
        <v>1117</v>
      </c>
      <c r="B1855" s="9" t="s">
        <v>291</v>
      </c>
      <c r="C1855" s="4">
        <v>201002546</v>
      </c>
      <c r="D1855" s="4" t="s">
        <v>1418</v>
      </c>
      <c r="E1855" s="4" t="str">
        <f>"050302010"</f>
        <v>050302010</v>
      </c>
      <c r="F1855" s="10">
        <v>40263</v>
      </c>
      <c r="G1855" s="11">
        <v>16.75</v>
      </c>
      <c r="H1855" s="11">
        <v>0</v>
      </c>
      <c r="I1855" s="4"/>
      <c r="J1855" s="4"/>
      <c r="K1855" s="11">
        <v>0</v>
      </c>
      <c r="L1855" s="4"/>
      <c r="M1855" s="4"/>
      <c r="N1855" s="11">
        <v>16.75</v>
      </c>
      <c r="O1855" s="4" t="s">
        <v>56</v>
      </c>
      <c r="P1855" s="4" t="s">
        <v>57</v>
      </c>
      <c r="Q1855" s="11">
        <v>0</v>
      </c>
      <c r="R1855" s="4"/>
      <c r="S1855" s="12"/>
    </row>
    <row r="1856" spans="1:19" x14ac:dyDescent="0.25">
      <c r="A1856" s="9" t="s">
        <v>1117</v>
      </c>
      <c r="B1856" s="9" t="s">
        <v>291</v>
      </c>
      <c r="C1856" s="4">
        <v>201002548</v>
      </c>
      <c r="D1856" s="4" t="s">
        <v>1428</v>
      </c>
      <c r="E1856" s="4" t="str">
        <f>"050462010"</f>
        <v>050462010</v>
      </c>
      <c r="F1856" s="10">
        <v>40263</v>
      </c>
      <c r="G1856" s="11">
        <v>350</v>
      </c>
      <c r="H1856" s="11">
        <v>0</v>
      </c>
      <c r="I1856" s="4"/>
      <c r="J1856" s="4"/>
      <c r="K1856" s="11">
        <v>0</v>
      </c>
      <c r="L1856" s="4"/>
      <c r="M1856" s="4"/>
      <c r="N1856" s="11">
        <v>350</v>
      </c>
      <c r="O1856" s="4" t="s">
        <v>56</v>
      </c>
      <c r="P1856" s="4" t="s">
        <v>57</v>
      </c>
      <c r="Q1856" s="11">
        <v>0</v>
      </c>
      <c r="R1856" s="4"/>
      <c r="S1856" s="12"/>
    </row>
    <row r="1857" spans="1:19" x14ac:dyDescent="0.25">
      <c r="A1857" s="9" t="s">
        <v>1117</v>
      </c>
      <c r="B1857" s="9" t="s">
        <v>291</v>
      </c>
      <c r="C1857" s="4">
        <v>201002549</v>
      </c>
      <c r="D1857" s="4" t="s">
        <v>1429</v>
      </c>
      <c r="E1857" s="4" t="str">
        <f>"050422010"</f>
        <v>050422010</v>
      </c>
      <c r="F1857" s="10">
        <v>40263</v>
      </c>
      <c r="G1857" s="11">
        <v>23.55</v>
      </c>
      <c r="H1857" s="11">
        <v>0</v>
      </c>
      <c r="I1857" s="4"/>
      <c r="J1857" s="4"/>
      <c r="K1857" s="11">
        <v>0</v>
      </c>
      <c r="L1857" s="4"/>
      <c r="M1857" s="4"/>
      <c r="N1857" s="11">
        <v>23.55</v>
      </c>
      <c r="O1857" s="4" t="s">
        <v>56</v>
      </c>
      <c r="P1857" s="4" t="s">
        <v>57</v>
      </c>
      <c r="Q1857" s="11">
        <v>0</v>
      </c>
      <c r="R1857" s="4"/>
      <c r="S1857" s="12"/>
    </row>
    <row r="1858" spans="1:19" x14ac:dyDescent="0.25">
      <c r="A1858" s="9" t="s">
        <v>1117</v>
      </c>
      <c r="B1858" s="9" t="s">
        <v>291</v>
      </c>
      <c r="C1858" s="4">
        <v>201002550</v>
      </c>
      <c r="D1858" s="4" t="s">
        <v>1425</v>
      </c>
      <c r="E1858" s="4" t="str">
        <f>"050442010"</f>
        <v>050442010</v>
      </c>
      <c r="F1858" s="10">
        <v>40263</v>
      </c>
      <c r="G1858" s="11">
        <v>353.1</v>
      </c>
      <c r="H1858" s="11">
        <v>0</v>
      </c>
      <c r="I1858" s="4"/>
      <c r="J1858" s="4"/>
      <c r="K1858" s="11">
        <v>0</v>
      </c>
      <c r="L1858" s="4"/>
      <c r="M1858" s="4"/>
      <c r="N1858" s="11">
        <v>353.1</v>
      </c>
      <c r="O1858" s="4" t="s">
        <v>56</v>
      </c>
      <c r="P1858" s="4" t="s">
        <v>57</v>
      </c>
      <c r="Q1858" s="11">
        <v>0</v>
      </c>
      <c r="R1858" s="4"/>
      <c r="S1858" s="12"/>
    </row>
    <row r="1859" spans="1:19" x14ac:dyDescent="0.25">
      <c r="A1859" s="9" t="s">
        <v>1117</v>
      </c>
      <c r="B1859" s="9" t="s">
        <v>291</v>
      </c>
      <c r="C1859" s="4">
        <v>201002551</v>
      </c>
      <c r="D1859" s="4" t="s">
        <v>1185</v>
      </c>
      <c r="E1859" s="4" t="str">
        <f>"050622010"</f>
        <v>050622010</v>
      </c>
      <c r="F1859" s="10">
        <v>40263</v>
      </c>
      <c r="G1859" s="11">
        <v>369</v>
      </c>
      <c r="H1859" s="11">
        <v>0</v>
      </c>
      <c r="I1859" s="4"/>
      <c r="J1859" s="4"/>
      <c r="K1859" s="11">
        <v>0</v>
      </c>
      <c r="L1859" s="4"/>
      <c r="M1859" s="4"/>
      <c r="N1859" s="11">
        <v>369</v>
      </c>
      <c r="O1859" s="4" t="s">
        <v>56</v>
      </c>
      <c r="P1859" s="4" t="s">
        <v>57</v>
      </c>
      <c r="Q1859" s="11">
        <v>0</v>
      </c>
      <c r="R1859" s="4"/>
      <c r="S1859" s="12"/>
    </row>
    <row r="1860" spans="1:19" x14ac:dyDescent="0.25">
      <c r="A1860" s="9" t="s">
        <v>1117</v>
      </c>
      <c r="B1860" s="9" t="s">
        <v>291</v>
      </c>
      <c r="C1860" s="4">
        <v>201002552</v>
      </c>
      <c r="D1860" s="4" t="s">
        <v>1429</v>
      </c>
      <c r="E1860" s="4" t="str">
        <f>"050602010"</f>
        <v>050602010</v>
      </c>
      <c r="F1860" s="10">
        <v>40263</v>
      </c>
      <c r="G1860" s="11">
        <v>363.2</v>
      </c>
      <c r="H1860" s="11">
        <v>0</v>
      </c>
      <c r="I1860" s="4"/>
      <c r="J1860" s="4"/>
      <c r="K1860" s="11">
        <v>0</v>
      </c>
      <c r="L1860" s="4"/>
      <c r="M1860" s="4"/>
      <c r="N1860" s="11">
        <v>363.2</v>
      </c>
      <c r="O1860" s="4" t="s">
        <v>56</v>
      </c>
      <c r="P1860" s="4" t="s">
        <v>57</v>
      </c>
      <c r="Q1860" s="11">
        <v>0</v>
      </c>
      <c r="R1860" s="4"/>
      <c r="S1860" s="12"/>
    </row>
    <row r="1861" spans="1:19" x14ac:dyDescent="0.25">
      <c r="A1861" s="9" t="s">
        <v>1117</v>
      </c>
      <c r="B1861" s="9" t="s">
        <v>291</v>
      </c>
      <c r="C1861" s="4">
        <v>201002553</v>
      </c>
      <c r="D1861" s="4" t="s">
        <v>1136</v>
      </c>
      <c r="E1861" s="4" t="str">
        <f>"050782010"</f>
        <v>050782010</v>
      </c>
      <c r="F1861" s="10">
        <v>40263</v>
      </c>
      <c r="G1861" s="11">
        <v>350</v>
      </c>
      <c r="H1861" s="11">
        <v>0</v>
      </c>
      <c r="I1861" s="4"/>
      <c r="J1861" s="4"/>
      <c r="K1861" s="11">
        <v>0</v>
      </c>
      <c r="L1861" s="4"/>
      <c r="M1861" s="4"/>
      <c r="N1861" s="11">
        <v>350</v>
      </c>
      <c r="O1861" s="4" t="s">
        <v>308</v>
      </c>
      <c r="P1861" s="4" t="s">
        <v>309</v>
      </c>
      <c r="Q1861" s="11">
        <v>0</v>
      </c>
      <c r="R1861" s="4"/>
      <c r="S1861" s="12"/>
    </row>
    <row r="1862" spans="1:19" x14ac:dyDescent="0.25">
      <c r="A1862" s="9" t="s">
        <v>1117</v>
      </c>
      <c r="B1862" s="9" t="s">
        <v>291</v>
      </c>
      <c r="C1862" s="4">
        <v>201002554</v>
      </c>
      <c r="D1862" s="4" t="s">
        <v>1430</v>
      </c>
      <c r="E1862" s="4" t="str">
        <f>"050702010"</f>
        <v>050702010</v>
      </c>
      <c r="F1862" s="10">
        <v>40263</v>
      </c>
      <c r="G1862" s="11">
        <v>350</v>
      </c>
      <c r="H1862" s="11">
        <v>0</v>
      </c>
      <c r="I1862" s="4"/>
      <c r="J1862" s="4"/>
      <c r="K1862" s="11">
        <v>0</v>
      </c>
      <c r="L1862" s="4"/>
      <c r="M1862" s="4"/>
      <c r="N1862" s="11">
        <v>350</v>
      </c>
      <c r="O1862" s="4" t="s">
        <v>56</v>
      </c>
      <c r="P1862" s="4" t="s">
        <v>57</v>
      </c>
      <c r="Q1862" s="11">
        <v>0</v>
      </c>
      <c r="R1862" s="4"/>
      <c r="S1862" s="12"/>
    </row>
    <row r="1863" spans="1:19" x14ac:dyDescent="0.25">
      <c r="A1863" s="9" t="s">
        <v>1117</v>
      </c>
      <c r="B1863" s="9" t="s">
        <v>291</v>
      </c>
      <c r="C1863" s="4">
        <v>201002555</v>
      </c>
      <c r="D1863" s="4" t="s">
        <v>1431</v>
      </c>
      <c r="E1863" s="4" t="str">
        <f>"051382010"</f>
        <v>051382010</v>
      </c>
      <c r="F1863" s="10">
        <v>40263</v>
      </c>
      <c r="G1863" s="11">
        <v>21</v>
      </c>
      <c r="H1863" s="11">
        <v>0</v>
      </c>
      <c r="I1863" s="4"/>
      <c r="J1863" s="4"/>
      <c r="K1863" s="11">
        <v>0</v>
      </c>
      <c r="L1863" s="4"/>
      <c r="M1863" s="4"/>
      <c r="N1863" s="11">
        <v>21</v>
      </c>
      <c r="O1863" s="4" t="s">
        <v>56</v>
      </c>
      <c r="P1863" s="4" t="s">
        <v>57</v>
      </c>
      <c r="Q1863" s="11">
        <v>0</v>
      </c>
      <c r="R1863" s="4"/>
      <c r="S1863" s="12"/>
    </row>
    <row r="1864" spans="1:19" x14ac:dyDescent="0.25">
      <c r="A1864" s="9" t="s">
        <v>1117</v>
      </c>
      <c r="B1864" s="9" t="s">
        <v>291</v>
      </c>
      <c r="C1864" s="4">
        <v>201002557</v>
      </c>
      <c r="D1864" s="4" t="s">
        <v>1424</v>
      </c>
      <c r="E1864" s="4" t="str">
        <f>"050682010"</f>
        <v>050682010</v>
      </c>
      <c r="F1864" s="10">
        <v>40263</v>
      </c>
      <c r="G1864" s="11">
        <v>84.7</v>
      </c>
      <c r="H1864" s="11">
        <v>0</v>
      </c>
      <c r="I1864" s="4"/>
      <c r="J1864" s="4"/>
      <c r="K1864" s="11">
        <v>0</v>
      </c>
      <c r="L1864" s="4"/>
      <c r="M1864" s="4"/>
      <c r="N1864" s="11">
        <v>84.7</v>
      </c>
      <c r="O1864" s="4" t="s">
        <v>56</v>
      </c>
      <c r="P1864" s="4" t="s">
        <v>57</v>
      </c>
      <c r="Q1864" s="11">
        <v>0</v>
      </c>
      <c r="R1864" s="4"/>
      <c r="S1864" s="12"/>
    </row>
    <row r="1865" spans="1:19" x14ac:dyDescent="0.25">
      <c r="A1865" s="9" t="s">
        <v>1117</v>
      </c>
      <c r="B1865" s="9" t="s">
        <v>291</v>
      </c>
      <c r="C1865" s="4">
        <v>201002560</v>
      </c>
      <c r="D1865" s="4" t="s">
        <v>1149</v>
      </c>
      <c r="E1865" s="4" t="str">
        <f>"050822010"</f>
        <v>050822010</v>
      </c>
      <c r="F1865" s="10">
        <v>40263</v>
      </c>
      <c r="G1865" s="11">
        <v>350</v>
      </c>
      <c r="H1865" s="11">
        <v>0</v>
      </c>
      <c r="I1865" s="4"/>
      <c r="J1865" s="4"/>
      <c r="K1865" s="11">
        <v>0</v>
      </c>
      <c r="L1865" s="4"/>
      <c r="M1865" s="4"/>
      <c r="N1865" s="11">
        <v>350</v>
      </c>
      <c r="O1865" s="4" t="s">
        <v>308</v>
      </c>
      <c r="P1865" s="4" t="s">
        <v>309</v>
      </c>
      <c r="Q1865" s="11">
        <v>0</v>
      </c>
      <c r="R1865" s="4"/>
      <c r="S1865" s="12"/>
    </row>
    <row r="1866" spans="1:19" x14ac:dyDescent="0.25">
      <c r="A1866" s="9" t="s">
        <v>1117</v>
      </c>
      <c r="B1866" s="9" t="s">
        <v>291</v>
      </c>
      <c r="C1866" s="4">
        <v>201002566</v>
      </c>
      <c r="D1866" s="4" t="s">
        <v>1432</v>
      </c>
      <c r="E1866" s="4" t="str">
        <f>"050902010"</f>
        <v>050902010</v>
      </c>
      <c r="F1866" s="10">
        <v>40263</v>
      </c>
      <c r="G1866" s="11">
        <v>350</v>
      </c>
      <c r="H1866" s="11">
        <v>0</v>
      </c>
      <c r="I1866" s="4"/>
      <c r="J1866" s="4"/>
      <c r="K1866" s="11">
        <v>0</v>
      </c>
      <c r="L1866" s="4"/>
      <c r="M1866" s="4"/>
      <c r="N1866" s="11">
        <v>350</v>
      </c>
      <c r="O1866" s="4" t="s">
        <v>308</v>
      </c>
      <c r="P1866" s="4" t="s">
        <v>309</v>
      </c>
      <c r="Q1866" s="11">
        <v>0</v>
      </c>
      <c r="R1866" s="4"/>
      <c r="S1866" s="12"/>
    </row>
    <row r="1867" spans="1:19" x14ac:dyDescent="0.25">
      <c r="A1867" s="9" t="s">
        <v>1117</v>
      </c>
      <c r="B1867" s="9" t="s">
        <v>291</v>
      </c>
      <c r="C1867" s="4">
        <v>201002567</v>
      </c>
      <c r="D1867" s="4" t="s">
        <v>1433</v>
      </c>
      <c r="E1867" s="4" t="str">
        <f>"051242010"</f>
        <v>051242010</v>
      </c>
      <c r="F1867" s="10">
        <v>40263</v>
      </c>
      <c r="G1867" s="11">
        <v>350</v>
      </c>
      <c r="H1867" s="11">
        <v>0</v>
      </c>
      <c r="I1867" s="4"/>
      <c r="J1867" s="4"/>
      <c r="K1867" s="11">
        <v>0</v>
      </c>
      <c r="L1867" s="4"/>
      <c r="M1867" s="4"/>
      <c r="N1867" s="11">
        <v>350</v>
      </c>
      <c r="O1867" s="4" t="s">
        <v>56</v>
      </c>
      <c r="P1867" s="4" t="s">
        <v>57</v>
      </c>
      <c r="Q1867" s="11">
        <v>0</v>
      </c>
      <c r="R1867" s="4"/>
      <c r="S1867" s="12"/>
    </row>
    <row r="1868" spans="1:19" x14ac:dyDescent="0.25">
      <c r="A1868" s="9" t="s">
        <v>1117</v>
      </c>
      <c r="B1868" s="9" t="s">
        <v>291</v>
      </c>
      <c r="C1868" s="4">
        <v>201002569</v>
      </c>
      <c r="D1868" s="4" t="s">
        <v>1434</v>
      </c>
      <c r="E1868" s="4" t="str">
        <f>"051482010"</f>
        <v>051482010</v>
      </c>
      <c r="F1868" s="10">
        <v>40263</v>
      </c>
      <c r="G1868" s="11">
        <v>350</v>
      </c>
      <c r="H1868" s="11">
        <v>0</v>
      </c>
      <c r="I1868" s="4"/>
      <c r="J1868" s="4"/>
      <c r="K1868" s="11">
        <v>0</v>
      </c>
      <c r="L1868" s="4"/>
      <c r="M1868" s="4"/>
      <c r="N1868" s="11">
        <v>350</v>
      </c>
      <c r="O1868" s="4" t="s">
        <v>56</v>
      </c>
      <c r="P1868" s="4" t="s">
        <v>57</v>
      </c>
      <c r="Q1868" s="11">
        <v>0</v>
      </c>
      <c r="R1868" s="4"/>
      <c r="S1868" s="12"/>
    </row>
    <row r="1869" spans="1:19" x14ac:dyDescent="0.25">
      <c r="A1869" s="9" t="s">
        <v>1117</v>
      </c>
      <c r="B1869" s="9" t="s">
        <v>291</v>
      </c>
      <c r="C1869" s="4">
        <v>201002572</v>
      </c>
      <c r="D1869" s="4"/>
      <c r="E1869" s="4" t="str">
        <f>"050962010"</f>
        <v>050962010</v>
      </c>
      <c r="F1869" s="10">
        <v>40263</v>
      </c>
      <c r="G1869" s="11">
        <v>350</v>
      </c>
      <c r="H1869" s="11">
        <v>0</v>
      </c>
      <c r="I1869" s="4"/>
      <c r="J1869" s="4"/>
      <c r="K1869" s="11">
        <v>0</v>
      </c>
      <c r="L1869" s="4"/>
      <c r="M1869" s="4"/>
      <c r="N1869" s="11">
        <v>350</v>
      </c>
      <c r="O1869" s="4" t="s">
        <v>308</v>
      </c>
      <c r="P1869" s="4" t="s">
        <v>309</v>
      </c>
      <c r="Q1869" s="11">
        <v>0</v>
      </c>
      <c r="R1869" s="4"/>
      <c r="S1869" s="12"/>
    </row>
    <row r="1870" spans="1:19" x14ac:dyDescent="0.25">
      <c r="A1870" s="9" t="s">
        <v>1117</v>
      </c>
      <c r="B1870" s="9" t="s">
        <v>291</v>
      </c>
      <c r="C1870" s="4">
        <v>201002578</v>
      </c>
      <c r="D1870" s="4" t="s">
        <v>1435</v>
      </c>
      <c r="E1870" s="4" t="str">
        <f>"051002010"</f>
        <v>051002010</v>
      </c>
      <c r="F1870" s="10">
        <v>40263</v>
      </c>
      <c r="G1870" s="11">
        <v>350</v>
      </c>
      <c r="H1870" s="11">
        <v>0</v>
      </c>
      <c r="I1870" s="4"/>
      <c r="J1870" s="4"/>
      <c r="K1870" s="11">
        <v>0</v>
      </c>
      <c r="L1870" s="4"/>
      <c r="M1870" s="4"/>
      <c r="N1870" s="11">
        <v>350</v>
      </c>
      <c r="O1870" s="4" t="s">
        <v>56</v>
      </c>
      <c r="P1870" s="4" t="s">
        <v>57</v>
      </c>
      <c r="Q1870" s="11">
        <v>0</v>
      </c>
      <c r="R1870" s="4"/>
      <c r="S1870" s="12"/>
    </row>
    <row r="1871" spans="1:19" x14ac:dyDescent="0.25">
      <c r="A1871" s="9" t="s">
        <v>1117</v>
      </c>
      <c r="B1871" s="9" t="s">
        <v>291</v>
      </c>
      <c r="C1871" s="4">
        <v>201002584</v>
      </c>
      <c r="D1871" s="4" t="s">
        <v>1419</v>
      </c>
      <c r="E1871" s="4" t="str">
        <f>"051202010"</f>
        <v>051202010</v>
      </c>
      <c r="F1871" s="10">
        <v>40263</v>
      </c>
      <c r="G1871" s="11">
        <v>350</v>
      </c>
      <c r="H1871" s="11">
        <v>0</v>
      </c>
      <c r="I1871" s="4"/>
      <c r="J1871" s="4"/>
      <c r="K1871" s="11">
        <v>0</v>
      </c>
      <c r="L1871" s="4"/>
      <c r="M1871" s="4"/>
      <c r="N1871" s="11">
        <v>350</v>
      </c>
      <c r="O1871" s="4" t="s">
        <v>56</v>
      </c>
      <c r="P1871" s="4" t="s">
        <v>57</v>
      </c>
      <c r="Q1871" s="11">
        <v>0</v>
      </c>
      <c r="R1871" s="4"/>
      <c r="S1871" s="12"/>
    </row>
    <row r="1872" spans="1:19" x14ac:dyDescent="0.25">
      <c r="A1872" s="9" t="s">
        <v>1117</v>
      </c>
      <c r="B1872" s="9" t="s">
        <v>291</v>
      </c>
      <c r="C1872" s="4">
        <v>201002596</v>
      </c>
      <c r="D1872" s="4" t="s">
        <v>1424</v>
      </c>
      <c r="E1872" s="4" t="str">
        <f>"056532010"</f>
        <v>056532010</v>
      </c>
      <c r="F1872" s="10">
        <v>40276</v>
      </c>
      <c r="G1872" s="11">
        <v>72.099999999999994</v>
      </c>
      <c r="H1872" s="11">
        <v>0</v>
      </c>
      <c r="I1872" s="4"/>
      <c r="J1872" s="4"/>
      <c r="K1872" s="11">
        <v>0</v>
      </c>
      <c r="L1872" s="4"/>
      <c r="M1872" s="4"/>
      <c r="N1872" s="11">
        <v>72.099999999999994</v>
      </c>
      <c r="O1872" s="4" t="s">
        <v>56</v>
      </c>
      <c r="P1872" s="4" t="s">
        <v>57</v>
      </c>
      <c r="Q1872" s="11">
        <v>0</v>
      </c>
      <c r="R1872" s="4"/>
      <c r="S1872" s="12"/>
    </row>
    <row r="1873" spans="1:19" x14ac:dyDescent="0.25">
      <c r="A1873" s="9" t="s">
        <v>1117</v>
      </c>
      <c r="B1873" s="9" t="s">
        <v>291</v>
      </c>
      <c r="C1873" s="4">
        <v>201002597</v>
      </c>
      <c r="D1873" s="4" t="s">
        <v>1429</v>
      </c>
      <c r="E1873" s="4" t="str">
        <f>"051742010"</f>
        <v>051742010</v>
      </c>
      <c r="F1873" s="10">
        <v>40263</v>
      </c>
      <c r="G1873" s="11">
        <v>49.5</v>
      </c>
      <c r="H1873" s="11">
        <v>0</v>
      </c>
      <c r="I1873" s="4"/>
      <c r="J1873" s="4"/>
      <c r="K1873" s="11">
        <v>0</v>
      </c>
      <c r="L1873" s="4"/>
      <c r="M1873" s="4"/>
      <c r="N1873" s="11">
        <v>49.5</v>
      </c>
      <c r="O1873" s="4" t="s">
        <v>56</v>
      </c>
      <c r="P1873" s="4" t="s">
        <v>57</v>
      </c>
      <c r="Q1873" s="11">
        <v>0</v>
      </c>
      <c r="R1873" s="4"/>
      <c r="S1873" s="12"/>
    </row>
    <row r="1874" spans="1:19" x14ac:dyDescent="0.25">
      <c r="A1874" s="9" t="s">
        <v>1117</v>
      </c>
      <c r="B1874" s="9" t="s">
        <v>291</v>
      </c>
      <c r="C1874" s="4">
        <v>201002599</v>
      </c>
      <c r="D1874" s="4" t="s">
        <v>1430</v>
      </c>
      <c r="E1874" s="4" t="str">
        <f>"051462010"</f>
        <v>051462010</v>
      </c>
      <c r="F1874" s="10">
        <v>40263</v>
      </c>
      <c r="G1874" s="11">
        <v>350</v>
      </c>
      <c r="H1874" s="11">
        <v>0</v>
      </c>
      <c r="I1874" s="4"/>
      <c r="J1874" s="4"/>
      <c r="K1874" s="11">
        <v>0</v>
      </c>
      <c r="L1874" s="4"/>
      <c r="M1874" s="4"/>
      <c r="N1874" s="11">
        <v>350</v>
      </c>
      <c r="O1874" s="4" t="s">
        <v>56</v>
      </c>
      <c r="P1874" s="4" t="s">
        <v>57</v>
      </c>
      <c r="Q1874" s="11">
        <v>0</v>
      </c>
      <c r="R1874" s="4"/>
      <c r="S1874" s="12"/>
    </row>
    <row r="1875" spans="1:19" x14ac:dyDescent="0.25">
      <c r="A1875" s="9" t="s">
        <v>1117</v>
      </c>
      <c r="B1875" s="9" t="s">
        <v>291</v>
      </c>
      <c r="C1875" s="4">
        <v>201002600</v>
      </c>
      <c r="D1875" s="4" t="s">
        <v>1429</v>
      </c>
      <c r="E1875" s="4" t="str">
        <f>"051722010"</f>
        <v>051722010</v>
      </c>
      <c r="F1875" s="10">
        <v>40263</v>
      </c>
      <c r="G1875" s="11">
        <v>4.45</v>
      </c>
      <c r="H1875" s="11">
        <v>0</v>
      </c>
      <c r="I1875" s="4"/>
      <c r="J1875" s="4"/>
      <c r="K1875" s="11">
        <v>0</v>
      </c>
      <c r="L1875" s="4"/>
      <c r="M1875" s="4"/>
      <c r="N1875" s="11">
        <v>4.45</v>
      </c>
      <c r="O1875" s="4" t="s">
        <v>56</v>
      </c>
      <c r="P1875" s="4" t="s">
        <v>57</v>
      </c>
      <c r="Q1875" s="11">
        <v>0</v>
      </c>
      <c r="R1875" s="4"/>
      <c r="S1875" s="12"/>
    </row>
    <row r="1876" spans="1:19" x14ac:dyDescent="0.25">
      <c r="A1876" s="9" t="s">
        <v>1117</v>
      </c>
      <c r="B1876" s="9" t="s">
        <v>291</v>
      </c>
      <c r="C1876" s="4">
        <v>201002601</v>
      </c>
      <c r="D1876" s="4" t="s">
        <v>1418</v>
      </c>
      <c r="E1876" s="4" t="str">
        <f>"051562010"</f>
        <v>051562010</v>
      </c>
      <c r="F1876" s="10">
        <v>40263</v>
      </c>
      <c r="G1876" s="11">
        <v>364.5</v>
      </c>
      <c r="H1876" s="11">
        <v>0</v>
      </c>
      <c r="I1876" s="4"/>
      <c r="J1876" s="4"/>
      <c r="K1876" s="11">
        <v>0</v>
      </c>
      <c r="L1876" s="4"/>
      <c r="M1876" s="4"/>
      <c r="N1876" s="11">
        <v>364.5</v>
      </c>
      <c r="O1876" s="4" t="s">
        <v>56</v>
      </c>
      <c r="P1876" s="4" t="s">
        <v>57</v>
      </c>
      <c r="Q1876" s="11">
        <v>0</v>
      </c>
      <c r="R1876" s="4"/>
      <c r="S1876" s="12"/>
    </row>
    <row r="1877" spans="1:19" x14ac:dyDescent="0.25">
      <c r="A1877" s="9" t="s">
        <v>1117</v>
      </c>
      <c r="B1877" s="9" t="s">
        <v>291</v>
      </c>
      <c r="C1877" s="4">
        <v>201002602</v>
      </c>
      <c r="D1877" s="4" t="s">
        <v>1424</v>
      </c>
      <c r="E1877" s="4" t="str">
        <f>"051542010"</f>
        <v>051542010</v>
      </c>
      <c r="F1877" s="10">
        <v>40263</v>
      </c>
      <c r="G1877" s="11">
        <v>94.5</v>
      </c>
      <c r="H1877" s="11">
        <v>0</v>
      </c>
      <c r="I1877" s="4"/>
      <c r="J1877" s="4"/>
      <c r="K1877" s="11">
        <v>0</v>
      </c>
      <c r="L1877" s="4"/>
      <c r="M1877" s="4"/>
      <c r="N1877" s="11">
        <v>94.5</v>
      </c>
      <c r="O1877" s="4" t="s">
        <v>56</v>
      </c>
      <c r="P1877" s="4" t="s">
        <v>57</v>
      </c>
      <c r="Q1877" s="11">
        <v>0</v>
      </c>
      <c r="R1877" s="4"/>
      <c r="S1877" s="12"/>
    </row>
    <row r="1878" spans="1:19" x14ac:dyDescent="0.25">
      <c r="A1878" s="9" t="s">
        <v>1117</v>
      </c>
      <c r="B1878" s="9" t="s">
        <v>291</v>
      </c>
      <c r="C1878" s="4">
        <v>201002603</v>
      </c>
      <c r="D1878" s="4" t="s">
        <v>1436</v>
      </c>
      <c r="E1878" s="4" t="str">
        <f>"051662010"</f>
        <v>051662010</v>
      </c>
      <c r="F1878" s="10">
        <v>40263</v>
      </c>
      <c r="G1878" s="11">
        <v>350</v>
      </c>
      <c r="H1878" s="11">
        <v>0</v>
      </c>
      <c r="I1878" s="4"/>
      <c r="J1878" s="4"/>
      <c r="K1878" s="11">
        <v>0</v>
      </c>
      <c r="L1878" s="4"/>
      <c r="M1878" s="4"/>
      <c r="N1878" s="11">
        <v>350</v>
      </c>
      <c r="O1878" s="4" t="s">
        <v>56</v>
      </c>
      <c r="P1878" s="4" t="s">
        <v>57</v>
      </c>
      <c r="Q1878" s="11">
        <v>0</v>
      </c>
      <c r="R1878" s="4"/>
      <c r="S1878" s="12"/>
    </row>
    <row r="1879" spans="1:19" x14ac:dyDescent="0.25">
      <c r="A1879" s="9" t="s">
        <v>1117</v>
      </c>
      <c r="B1879" s="9" t="s">
        <v>291</v>
      </c>
      <c r="C1879" s="4">
        <v>201002605</v>
      </c>
      <c r="D1879" s="4" t="s">
        <v>1437</v>
      </c>
      <c r="E1879" s="4" t="str">
        <f>"055492010"</f>
        <v>055492010</v>
      </c>
      <c r="F1879" s="10">
        <v>40275</v>
      </c>
      <c r="G1879" s="11">
        <v>357.2</v>
      </c>
      <c r="H1879" s="11">
        <v>0</v>
      </c>
      <c r="I1879" s="4"/>
      <c r="J1879" s="4"/>
      <c r="K1879" s="11">
        <v>0</v>
      </c>
      <c r="L1879" s="4"/>
      <c r="M1879" s="4"/>
      <c r="N1879" s="11">
        <v>357.2</v>
      </c>
      <c r="O1879" s="4" t="s">
        <v>308</v>
      </c>
      <c r="P1879" s="4" t="s">
        <v>309</v>
      </c>
      <c r="Q1879" s="11">
        <v>0</v>
      </c>
      <c r="R1879" s="4"/>
      <c r="S1879" s="12"/>
    </row>
    <row r="1880" spans="1:19" x14ac:dyDescent="0.25">
      <c r="A1880" s="9" t="s">
        <v>1117</v>
      </c>
      <c r="B1880" s="9" t="s">
        <v>291</v>
      </c>
      <c r="C1880" s="4">
        <v>201002606</v>
      </c>
      <c r="D1880" s="4" t="s">
        <v>1155</v>
      </c>
      <c r="E1880" s="4" t="str">
        <f>"051642010"</f>
        <v>051642010</v>
      </c>
      <c r="F1880" s="10">
        <v>40263</v>
      </c>
      <c r="G1880" s="11">
        <v>350</v>
      </c>
      <c r="H1880" s="11">
        <v>0</v>
      </c>
      <c r="I1880" s="4"/>
      <c r="J1880" s="4"/>
      <c r="K1880" s="11">
        <v>0</v>
      </c>
      <c r="L1880" s="4"/>
      <c r="M1880" s="4"/>
      <c r="N1880" s="11">
        <v>350</v>
      </c>
      <c r="O1880" s="4" t="s">
        <v>56</v>
      </c>
      <c r="P1880" s="4" t="s">
        <v>57</v>
      </c>
      <c r="Q1880" s="11">
        <v>0</v>
      </c>
      <c r="R1880" s="4"/>
      <c r="S1880" s="12"/>
    </row>
    <row r="1881" spans="1:19" x14ac:dyDescent="0.25">
      <c r="A1881" s="9" t="s">
        <v>1117</v>
      </c>
      <c r="B1881" s="9" t="s">
        <v>291</v>
      </c>
      <c r="C1881" s="4">
        <v>201002612</v>
      </c>
      <c r="D1881" s="4" t="s">
        <v>1438</v>
      </c>
      <c r="E1881" s="4" t="str">
        <f>"052042010"</f>
        <v>052042010</v>
      </c>
      <c r="F1881" s="10">
        <v>40270</v>
      </c>
      <c r="G1881" s="11">
        <v>367.12</v>
      </c>
      <c r="H1881" s="11">
        <v>0</v>
      </c>
      <c r="I1881" s="4"/>
      <c r="J1881" s="4"/>
      <c r="K1881" s="11">
        <v>0</v>
      </c>
      <c r="L1881" s="4"/>
      <c r="M1881" s="4"/>
      <c r="N1881" s="11">
        <v>367.12</v>
      </c>
      <c r="O1881" s="4" t="s">
        <v>56</v>
      </c>
      <c r="P1881" s="4" t="s">
        <v>57</v>
      </c>
      <c r="Q1881" s="11">
        <v>0</v>
      </c>
      <c r="R1881" s="4"/>
      <c r="S1881" s="12"/>
    </row>
    <row r="1882" spans="1:19" x14ac:dyDescent="0.25">
      <c r="A1882" s="9" t="s">
        <v>1117</v>
      </c>
      <c r="B1882" s="9" t="s">
        <v>291</v>
      </c>
      <c r="C1882" s="4">
        <v>201002617</v>
      </c>
      <c r="D1882" s="4" t="s">
        <v>1439</v>
      </c>
      <c r="E1882" s="4" t="str">
        <f>"051862010"</f>
        <v>051862010</v>
      </c>
      <c r="F1882" s="10">
        <v>40263</v>
      </c>
      <c r="G1882" s="11">
        <v>350</v>
      </c>
      <c r="H1882" s="11">
        <v>0</v>
      </c>
      <c r="I1882" s="4"/>
      <c r="J1882" s="4"/>
      <c r="K1882" s="11">
        <v>0</v>
      </c>
      <c r="L1882" s="4"/>
      <c r="M1882" s="4"/>
      <c r="N1882" s="11">
        <v>350</v>
      </c>
      <c r="O1882" s="4" t="s">
        <v>308</v>
      </c>
      <c r="P1882" s="4" t="s">
        <v>309</v>
      </c>
      <c r="Q1882" s="11">
        <v>0</v>
      </c>
      <c r="R1882" s="4"/>
      <c r="S1882" s="12"/>
    </row>
    <row r="1883" spans="1:19" x14ac:dyDescent="0.25">
      <c r="A1883" s="9" t="s">
        <v>1117</v>
      </c>
      <c r="B1883" s="9" t="s">
        <v>291</v>
      </c>
      <c r="C1883" s="4">
        <v>201002622</v>
      </c>
      <c r="D1883" s="4" t="s">
        <v>1258</v>
      </c>
      <c r="E1883" s="4" t="str">
        <f>"051702010"</f>
        <v>051702010</v>
      </c>
      <c r="F1883" s="10">
        <v>40263</v>
      </c>
      <c r="G1883" s="11">
        <v>350</v>
      </c>
      <c r="H1883" s="11">
        <v>0</v>
      </c>
      <c r="I1883" s="4"/>
      <c r="J1883" s="4"/>
      <c r="K1883" s="11">
        <v>0</v>
      </c>
      <c r="L1883" s="4"/>
      <c r="M1883" s="4"/>
      <c r="N1883" s="11">
        <v>350</v>
      </c>
      <c r="O1883" s="4" t="s">
        <v>56</v>
      </c>
      <c r="P1883" s="4" t="s">
        <v>57</v>
      </c>
      <c r="Q1883" s="11">
        <v>0</v>
      </c>
      <c r="R1883" s="4"/>
      <c r="S1883" s="12"/>
    </row>
    <row r="1884" spans="1:19" x14ac:dyDescent="0.25">
      <c r="A1884" s="9" t="s">
        <v>1117</v>
      </c>
      <c r="B1884" s="9" t="s">
        <v>291</v>
      </c>
      <c r="C1884" s="4">
        <v>201002631</v>
      </c>
      <c r="D1884" s="4" t="s">
        <v>1440</v>
      </c>
      <c r="E1884" s="4" t="str">
        <f>"051962010"</f>
        <v>051962010</v>
      </c>
      <c r="F1884" s="10">
        <v>40263</v>
      </c>
      <c r="G1884" s="11">
        <v>24</v>
      </c>
      <c r="H1884" s="11">
        <v>0</v>
      </c>
      <c r="I1884" s="4"/>
      <c r="J1884" s="4"/>
      <c r="K1884" s="11">
        <v>0</v>
      </c>
      <c r="L1884" s="4"/>
      <c r="M1884" s="4"/>
      <c r="N1884" s="11">
        <v>24</v>
      </c>
      <c r="O1884" s="4" t="s">
        <v>56</v>
      </c>
      <c r="P1884" s="4" t="s">
        <v>57</v>
      </c>
      <c r="Q1884" s="11">
        <v>0</v>
      </c>
      <c r="R1884" s="4"/>
      <c r="S1884" s="12"/>
    </row>
    <row r="1885" spans="1:19" x14ac:dyDescent="0.25">
      <c r="A1885" s="9" t="s">
        <v>1117</v>
      </c>
      <c r="B1885" s="9" t="s">
        <v>291</v>
      </c>
      <c r="C1885" s="4">
        <v>201002632</v>
      </c>
      <c r="D1885" s="4" t="s">
        <v>1441</v>
      </c>
      <c r="E1885" s="4" t="str">
        <f>"051922010"</f>
        <v>051922010</v>
      </c>
      <c r="F1885" s="10">
        <v>40263</v>
      </c>
      <c r="G1885" s="11">
        <v>350</v>
      </c>
      <c r="H1885" s="11">
        <v>0</v>
      </c>
      <c r="I1885" s="4"/>
      <c r="J1885" s="4"/>
      <c r="K1885" s="11">
        <v>0</v>
      </c>
      <c r="L1885" s="4"/>
      <c r="M1885" s="4"/>
      <c r="N1885" s="11">
        <v>350</v>
      </c>
      <c r="O1885" s="4" t="s">
        <v>56</v>
      </c>
      <c r="P1885" s="4" t="s">
        <v>57</v>
      </c>
      <c r="Q1885" s="11">
        <v>0</v>
      </c>
      <c r="R1885" s="4"/>
      <c r="S1885" s="12"/>
    </row>
    <row r="1886" spans="1:19" x14ac:dyDescent="0.25">
      <c r="A1886" s="9" t="s">
        <v>1117</v>
      </c>
      <c r="B1886" s="9" t="s">
        <v>291</v>
      </c>
      <c r="C1886" s="4">
        <v>201002638</v>
      </c>
      <c r="D1886" s="4" t="s">
        <v>1442</v>
      </c>
      <c r="E1886" s="4" t="str">
        <f>"059922010"</f>
        <v>059922010</v>
      </c>
      <c r="F1886" s="10">
        <v>40288</v>
      </c>
      <c r="G1886" s="11">
        <v>0</v>
      </c>
      <c r="H1886" s="11">
        <v>0</v>
      </c>
      <c r="I1886" s="4"/>
      <c r="J1886" s="4"/>
      <c r="K1886" s="11">
        <v>0</v>
      </c>
      <c r="L1886" s="4"/>
      <c r="M1886" s="4"/>
      <c r="N1886" s="11">
        <v>48</v>
      </c>
      <c r="O1886" s="4" t="s">
        <v>56</v>
      </c>
      <c r="P1886" s="4" t="s">
        <v>57</v>
      </c>
      <c r="Q1886" s="11">
        <v>0</v>
      </c>
      <c r="R1886" s="4"/>
      <c r="S1886" s="12"/>
    </row>
    <row r="1887" spans="1:19" x14ac:dyDescent="0.25">
      <c r="A1887" s="9" t="s">
        <v>1117</v>
      </c>
      <c r="B1887" s="9" t="s">
        <v>291</v>
      </c>
      <c r="C1887" s="4">
        <v>201002644</v>
      </c>
      <c r="D1887" s="4" t="s">
        <v>1443</v>
      </c>
      <c r="E1887" s="4" t="str">
        <f>"052022010"</f>
        <v>052022010</v>
      </c>
      <c r="F1887" s="10">
        <v>40270</v>
      </c>
      <c r="G1887" s="11">
        <v>23</v>
      </c>
      <c r="H1887" s="11">
        <v>0</v>
      </c>
      <c r="I1887" s="4"/>
      <c r="J1887" s="4"/>
      <c r="K1887" s="11">
        <v>0</v>
      </c>
      <c r="L1887" s="4"/>
      <c r="M1887" s="4"/>
      <c r="N1887" s="11">
        <v>23</v>
      </c>
      <c r="O1887" s="4" t="s">
        <v>56</v>
      </c>
      <c r="P1887" s="4" t="s">
        <v>57</v>
      </c>
      <c r="Q1887" s="11">
        <v>0</v>
      </c>
      <c r="R1887" s="4"/>
      <c r="S1887" s="12"/>
    </row>
    <row r="1888" spans="1:19" x14ac:dyDescent="0.25">
      <c r="A1888" s="9" t="s">
        <v>1117</v>
      </c>
      <c r="B1888" s="9" t="s">
        <v>291</v>
      </c>
      <c r="C1888" s="4">
        <v>201002648</v>
      </c>
      <c r="D1888" s="4" t="s">
        <v>1197</v>
      </c>
      <c r="E1888" s="4" t="str">
        <f>"052202010"</f>
        <v>052202010</v>
      </c>
      <c r="F1888" s="10">
        <v>40270</v>
      </c>
      <c r="G1888" s="11">
        <v>350</v>
      </c>
      <c r="H1888" s="11">
        <v>0</v>
      </c>
      <c r="I1888" s="4"/>
      <c r="J1888" s="4"/>
      <c r="K1888" s="11">
        <v>0</v>
      </c>
      <c r="L1888" s="4"/>
      <c r="M1888" s="4"/>
      <c r="N1888" s="11">
        <v>350</v>
      </c>
      <c r="O1888" s="4" t="s">
        <v>308</v>
      </c>
      <c r="P1888" s="4" t="s">
        <v>309</v>
      </c>
      <c r="Q1888" s="11">
        <v>0</v>
      </c>
      <c r="R1888" s="4"/>
      <c r="S1888" s="12"/>
    </row>
    <row r="1889" spans="1:19" x14ac:dyDescent="0.25">
      <c r="A1889" s="9" t="s">
        <v>1117</v>
      </c>
      <c r="B1889" s="9" t="s">
        <v>291</v>
      </c>
      <c r="C1889" s="4">
        <v>201002653</v>
      </c>
      <c r="D1889" s="4" t="s">
        <v>2534</v>
      </c>
      <c r="E1889" s="4" t="str">
        <f>"061742010"</f>
        <v>061742010</v>
      </c>
      <c r="F1889" s="10">
        <v>40296</v>
      </c>
      <c r="G1889" s="11">
        <v>350</v>
      </c>
      <c r="H1889" s="11">
        <v>0</v>
      </c>
      <c r="I1889" s="4"/>
      <c r="J1889" s="4"/>
      <c r="K1889" s="11">
        <v>350</v>
      </c>
      <c r="L1889" s="4" t="s">
        <v>56</v>
      </c>
      <c r="M1889" s="4" t="s">
        <v>57</v>
      </c>
      <c r="N1889" s="11">
        <v>0</v>
      </c>
      <c r="O1889" s="4"/>
      <c r="P1889" s="4"/>
      <c r="Q1889" s="11">
        <v>0</v>
      </c>
      <c r="R1889" s="4"/>
      <c r="S1889" s="12"/>
    </row>
    <row r="1890" spans="1:19" x14ac:dyDescent="0.25">
      <c r="A1890" s="9" t="s">
        <v>1117</v>
      </c>
      <c r="B1890" s="9" t="s">
        <v>291</v>
      </c>
      <c r="C1890" s="4">
        <v>201002664</v>
      </c>
      <c r="D1890" s="4" t="s">
        <v>1444</v>
      </c>
      <c r="E1890" s="4" t="str">
        <f>"053262010"</f>
        <v>053262010</v>
      </c>
      <c r="F1890" s="10">
        <v>40273</v>
      </c>
      <c r="G1890" s="11">
        <v>350</v>
      </c>
      <c r="H1890" s="11">
        <v>0</v>
      </c>
      <c r="I1890" s="4"/>
      <c r="J1890" s="4"/>
      <c r="K1890" s="11">
        <v>0</v>
      </c>
      <c r="L1890" s="4"/>
      <c r="M1890" s="4"/>
      <c r="N1890" s="11">
        <v>350</v>
      </c>
      <c r="O1890" s="4" t="s">
        <v>56</v>
      </c>
      <c r="P1890" s="4" t="s">
        <v>57</v>
      </c>
      <c r="Q1890" s="11">
        <v>0</v>
      </c>
      <c r="R1890" s="4"/>
      <c r="S1890" s="12"/>
    </row>
    <row r="1891" spans="1:19" x14ac:dyDescent="0.25">
      <c r="A1891" s="9" t="s">
        <v>1117</v>
      </c>
      <c r="B1891" s="9" t="s">
        <v>291</v>
      </c>
      <c r="C1891" s="4">
        <v>201002668</v>
      </c>
      <c r="D1891" s="4" t="s">
        <v>1445</v>
      </c>
      <c r="E1891" s="4" t="str">
        <f>"052442010"</f>
        <v>052442010</v>
      </c>
      <c r="F1891" s="10">
        <v>40270</v>
      </c>
      <c r="G1891" s="11">
        <v>409.69</v>
      </c>
      <c r="H1891" s="11">
        <v>0</v>
      </c>
      <c r="I1891" s="4"/>
      <c r="J1891" s="4"/>
      <c r="K1891" s="11">
        <v>0</v>
      </c>
      <c r="L1891" s="4"/>
      <c r="M1891" s="4"/>
      <c r="N1891" s="11">
        <v>409.69</v>
      </c>
      <c r="O1891" s="4" t="s">
        <v>56</v>
      </c>
      <c r="P1891" s="4" t="s">
        <v>57</v>
      </c>
      <c r="Q1891" s="11">
        <v>0</v>
      </c>
      <c r="R1891" s="4"/>
      <c r="S1891" s="12"/>
    </row>
    <row r="1892" spans="1:19" x14ac:dyDescent="0.25">
      <c r="A1892" s="9" t="s">
        <v>1117</v>
      </c>
      <c r="B1892" s="9" t="s">
        <v>291</v>
      </c>
      <c r="C1892" s="4">
        <v>201002670</v>
      </c>
      <c r="D1892" s="4" t="s">
        <v>1195</v>
      </c>
      <c r="E1892" s="4" t="str">
        <f>"052562010"</f>
        <v>052562010</v>
      </c>
      <c r="F1892" s="10">
        <v>40270</v>
      </c>
      <c r="G1892" s="11">
        <v>350</v>
      </c>
      <c r="H1892" s="11">
        <v>0</v>
      </c>
      <c r="I1892" s="4"/>
      <c r="J1892" s="4"/>
      <c r="K1892" s="11">
        <v>0</v>
      </c>
      <c r="L1892" s="4"/>
      <c r="M1892" s="4"/>
      <c r="N1892" s="11">
        <v>350</v>
      </c>
      <c r="O1892" s="4" t="s">
        <v>56</v>
      </c>
      <c r="P1892" s="4" t="s">
        <v>57</v>
      </c>
      <c r="Q1892" s="11">
        <v>0</v>
      </c>
      <c r="R1892" s="4"/>
      <c r="S1892" s="12"/>
    </row>
    <row r="1893" spans="1:19" x14ac:dyDescent="0.25">
      <c r="A1893" s="9" t="s">
        <v>1117</v>
      </c>
      <c r="B1893" s="9" t="s">
        <v>291</v>
      </c>
      <c r="C1893" s="4">
        <v>201002673</v>
      </c>
      <c r="D1893" s="4" t="s">
        <v>1443</v>
      </c>
      <c r="E1893" s="4" t="str">
        <f>"053042010"</f>
        <v>053042010</v>
      </c>
      <c r="F1893" s="10">
        <v>40273</v>
      </c>
      <c r="G1893" s="11">
        <v>7</v>
      </c>
      <c r="H1893" s="11">
        <v>0</v>
      </c>
      <c r="I1893" s="4"/>
      <c r="J1893" s="4"/>
      <c r="K1893" s="11">
        <v>0</v>
      </c>
      <c r="L1893" s="4"/>
      <c r="M1893" s="4"/>
      <c r="N1893" s="11">
        <v>7</v>
      </c>
      <c r="O1893" s="4" t="s">
        <v>56</v>
      </c>
      <c r="P1893" s="4" t="s">
        <v>57</v>
      </c>
      <c r="Q1893" s="11">
        <v>0</v>
      </c>
      <c r="R1893" s="4"/>
      <c r="S1893" s="12"/>
    </row>
    <row r="1894" spans="1:19" x14ac:dyDescent="0.25">
      <c r="A1894" s="9" t="s">
        <v>1117</v>
      </c>
      <c r="B1894" s="9" t="s">
        <v>291</v>
      </c>
      <c r="C1894" s="4">
        <v>201002677</v>
      </c>
      <c r="D1894" s="4" t="s">
        <v>1394</v>
      </c>
      <c r="E1894" s="4" t="str">
        <f>"053382010"</f>
        <v>053382010</v>
      </c>
      <c r="F1894" s="10">
        <v>40273</v>
      </c>
      <c r="G1894" s="11">
        <v>16.47</v>
      </c>
      <c r="H1894" s="11">
        <v>0</v>
      </c>
      <c r="I1894" s="4"/>
      <c r="J1894" s="4"/>
      <c r="K1894" s="11">
        <v>0</v>
      </c>
      <c r="L1894" s="4"/>
      <c r="M1894" s="4"/>
      <c r="N1894" s="11">
        <v>16.47</v>
      </c>
      <c r="O1894" s="4" t="s">
        <v>56</v>
      </c>
      <c r="P1894" s="4" t="s">
        <v>57</v>
      </c>
      <c r="Q1894" s="11">
        <v>0</v>
      </c>
      <c r="R1894" s="4"/>
      <c r="S1894" s="12"/>
    </row>
    <row r="1895" spans="1:19" x14ac:dyDescent="0.25">
      <c r="A1895" s="9" t="s">
        <v>1117</v>
      </c>
      <c r="B1895" s="9" t="s">
        <v>291</v>
      </c>
      <c r="C1895" s="4">
        <v>201002678</v>
      </c>
      <c r="D1895" s="4" t="s">
        <v>1446</v>
      </c>
      <c r="E1895" s="4" t="str">
        <f>"053222010"</f>
        <v>053222010</v>
      </c>
      <c r="F1895" s="10">
        <v>40273</v>
      </c>
      <c r="G1895" s="11">
        <v>55.17</v>
      </c>
      <c r="H1895" s="11">
        <v>0</v>
      </c>
      <c r="I1895" s="4"/>
      <c r="J1895" s="4"/>
      <c r="K1895" s="11">
        <v>0</v>
      </c>
      <c r="L1895" s="4"/>
      <c r="M1895" s="4"/>
      <c r="N1895" s="11">
        <v>55.17</v>
      </c>
      <c r="O1895" s="4" t="s">
        <v>56</v>
      </c>
      <c r="P1895" s="4" t="s">
        <v>57</v>
      </c>
      <c r="Q1895" s="11">
        <v>0</v>
      </c>
      <c r="R1895" s="4"/>
      <c r="S1895" s="12"/>
    </row>
    <row r="1896" spans="1:19" x14ac:dyDescent="0.25">
      <c r="A1896" s="9" t="s">
        <v>1117</v>
      </c>
      <c r="B1896" s="9" t="s">
        <v>291</v>
      </c>
      <c r="C1896" s="4">
        <v>201002683</v>
      </c>
      <c r="D1896" s="4" t="s">
        <v>1198</v>
      </c>
      <c r="E1896" s="4" t="str">
        <f>"053022010"</f>
        <v>053022010</v>
      </c>
      <c r="F1896" s="10">
        <v>40273</v>
      </c>
      <c r="G1896" s="11">
        <v>350</v>
      </c>
      <c r="H1896" s="11">
        <v>0</v>
      </c>
      <c r="I1896" s="4"/>
      <c r="J1896" s="4"/>
      <c r="K1896" s="11">
        <v>0</v>
      </c>
      <c r="L1896" s="4"/>
      <c r="M1896" s="4"/>
      <c r="N1896" s="11">
        <v>350</v>
      </c>
      <c r="O1896" s="4" t="s">
        <v>56</v>
      </c>
      <c r="P1896" s="4" t="s">
        <v>57</v>
      </c>
      <c r="Q1896" s="11">
        <v>0</v>
      </c>
      <c r="R1896" s="4"/>
      <c r="S1896" s="12"/>
    </row>
    <row r="1897" spans="1:19" x14ac:dyDescent="0.25">
      <c r="A1897" s="9" t="s">
        <v>1117</v>
      </c>
      <c r="B1897" s="9" t="s">
        <v>291</v>
      </c>
      <c r="C1897" s="4">
        <v>201002684</v>
      </c>
      <c r="D1897" s="4" t="s">
        <v>1447</v>
      </c>
      <c r="E1897" s="4" t="str">
        <f>"052742010"</f>
        <v>052742010</v>
      </c>
      <c r="F1897" s="10">
        <v>40276</v>
      </c>
      <c r="G1897" s="11">
        <v>380</v>
      </c>
      <c r="H1897" s="11">
        <v>0</v>
      </c>
      <c r="I1897" s="4"/>
      <c r="J1897" s="4"/>
      <c r="K1897" s="11">
        <v>0</v>
      </c>
      <c r="L1897" s="4"/>
      <c r="M1897" s="4"/>
      <c r="N1897" s="11">
        <v>380</v>
      </c>
      <c r="O1897" s="4" t="s">
        <v>56</v>
      </c>
      <c r="P1897" s="4" t="s">
        <v>57</v>
      </c>
      <c r="Q1897" s="11">
        <v>0</v>
      </c>
      <c r="R1897" s="4"/>
      <c r="S1897" s="12"/>
    </row>
    <row r="1898" spans="1:19" x14ac:dyDescent="0.25">
      <c r="A1898" s="9" t="s">
        <v>1117</v>
      </c>
      <c r="B1898" s="9" t="s">
        <v>291</v>
      </c>
      <c r="C1898" s="4">
        <v>201002712</v>
      </c>
      <c r="D1898" s="4" t="s">
        <v>1448</v>
      </c>
      <c r="E1898" s="4" t="str">
        <f>"053122010"</f>
        <v>053122010</v>
      </c>
      <c r="F1898" s="10">
        <v>40273</v>
      </c>
      <c r="G1898" s="11">
        <v>350</v>
      </c>
      <c r="H1898" s="11">
        <v>0</v>
      </c>
      <c r="I1898" s="4"/>
      <c r="J1898" s="4"/>
      <c r="K1898" s="11">
        <v>0</v>
      </c>
      <c r="L1898" s="4"/>
      <c r="M1898" s="4"/>
      <c r="N1898" s="11">
        <v>350</v>
      </c>
      <c r="O1898" s="4" t="s">
        <v>56</v>
      </c>
      <c r="P1898" s="4" t="s">
        <v>57</v>
      </c>
      <c r="Q1898" s="11">
        <v>0</v>
      </c>
      <c r="R1898" s="4"/>
      <c r="S1898" s="12"/>
    </row>
    <row r="1899" spans="1:19" x14ac:dyDescent="0.25">
      <c r="A1899" s="9" t="s">
        <v>1117</v>
      </c>
      <c r="B1899" s="9" t="s">
        <v>291</v>
      </c>
      <c r="C1899" s="4">
        <v>201002731</v>
      </c>
      <c r="D1899" s="4" t="s">
        <v>1449</v>
      </c>
      <c r="E1899" s="4" t="str">
        <f>"053322010"</f>
        <v>053322010</v>
      </c>
      <c r="F1899" s="10">
        <v>40273</v>
      </c>
      <c r="G1899" s="11">
        <v>350</v>
      </c>
      <c r="H1899" s="11">
        <v>0</v>
      </c>
      <c r="I1899" s="4"/>
      <c r="J1899" s="4"/>
      <c r="K1899" s="11">
        <v>0</v>
      </c>
      <c r="L1899" s="4"/>
      <c r="M1899" s="4"/>
      <c r="N1899" s="11">
        <v>350</v>
      </c>
      <c r="O1899" s="4" t="s">
        <v>56</v>
      </c>
      <c r="P1899" s="4" t="s">
        <v>57</v>
      </c>
      <c r="Q1899" s="11">
        <v>0</v>
      </c>
      <c r="R1899" s="4"/>
      <c r="S1899" s="12"/>
    </row>
    <row r="1900" spans="1:19" x14ac:dyDescent="0.25">
      <c r="A1900" s="9" t="s">
        <v>1117</v>
      </c>
      <c r="B1900" s="9" t="s">
        <v>291</v>
      </c>
      <c r="C1900" s="4">
        <v>201002733</v>
      </c>
      <c r="D1900" s="4" t="s">
        <v>1450</v>
      </c>
      <c r="E1900" s="4" t="str">
        <f>"053702010"</f>
        <v>053702010</v>
      </c>
      <c r="F1900" s="10">
        <v>40270</v>
      </c>
      <c r="G1900" s="11">
        <v>260.98</v>
      </c>
      <c r="H1900" s="11">
        <v>0</v>
      </c>
      <c r="I1900" s="4"/>
      <c r="J1900" s="4"/>
      <c r="K1900" s="11">
        <v>0</v>
      </c>
      <c r="L1900" s="4"/>
      <c r="M1900" s="4"/>
      <c r="N1900" s="11">
        <v>260.98</v>
      </c>
      <c r="O1900" s="4" t="s">
        <v>56</v>
      </c>
      <c r="P1900" s="4" t="s">
        <v>57</v>
      </c>
      <c r="Q1900" s="11">
        <v>0</v>
      </c>
      <c r="R1900" s="4"/>
      <c r="S1900" s="12"/>
    </row>
    <row r="1901" spans="1:19" x14ac:dyDescent="0.25">
      <c r="A1901" s="9" t="s">
        <v>1117</v>
      </c>
      <c r="B1901" s="9" t="s">
        <v>291</v>
      </c>
      <c r="C1901" s="4">
        <v>201002736</v>
      </c>
      <c r="D1901" s="4" t="s">
        <v>1268</v>
      </c>
      <c r="E1901" s="4" t="str">
        <f>"056172010"</f>
        <v>056172010</v>
      </c>
      <c r="F1901" s="10">
        <v>40275</v>
      </c>
      <c r="G1901" s="11">
        <v>166.42</v>
      </c>
      <c r="H1901" s="11">
        <v>0</v>
      </c>
      <c r="I1901" s="4"/>
      <c r="J1901" s="4"/>
      <c r="K1901" s="11">
        <v>0</v>
      </c>
      <c r="L1901" s="4"/>
      <c r="M1901" s="4"/>
      <c r="N1901" s="11">
        <v>166.42</v>
      </c>
      <c r="O1901" s="4" t="s">
        <v>56</v>
      </c>
      <c r="P1901" s="4" t="s">
        <v>57</v>
      </c>
      <c r="Q1901" s="11">
        <v>0</v>
      </c>
      <c r="R1901" s="4"/>
      <c r="S1901" s="12"/>
    </row>
    <row r="1902" spans="1:19" x14ac:dyDescent="0.25">
      <c r="A1902" s="9" t="s">
        <v>1117</v>
      </c>
      <c r="B1902" s="9" t="s">
        <v>291</v>
      </c>
      <c r="C1902" s="4">
        <v>201002738</v>
      </c>
      <c r="D1902" s="4" t="s">
        <v>1451</v>
      </c>
      <c r="E1902" s="4" t="str">
        <f>"054082010"</f>
        <v>054082010</v>
      </c>
      <c r="F1902" s="10">
        <v>40270</v>
      </c>
      <c r="G1902" s="11">
        <v>350</v>
      </c>
      <c r="H1902" s="11">
        <v>0</v>
      </c>
      <c r="I1902" s="4"/>
      <c r="J1902" s="4"/>
      <c r="K1902" s="11">
        <v>0</v>
      </c>
      <c r="L1902" s="4"/>
      <c r="M1902" s="4"/>
      <c r="N1902" s="11">
        <v>350</v>
      </c>
      <c r="O1902" s="4" t="s">
        <v>56</v>
      </c>
      <c r="P1902" s="4" t="s">
        <v>57</v>
      </c>
      <c r="Q1902" s="11">
        <v>0</v>
      </c>
      <c r="R1902" s="4"/>
      <c r="S1902" s="12"/>
    </row>
    <row r="1903" spans="1:19" x14ac:dyDescent="0.25">
      <c r="A1903" s="9" t="s">
        <v>1117</v>
      </c>
      <c r="B1903" s="9" t="s">
        <v>291</v>
      </c>
      <c r="C1903" s="4">
        <v>201002739</v>
      </c>
      <c r="D1903" s="4" t="s">
        <v>1452</v>
      </c>
      <c r="E1903" s="4" t="str">
        <f>"054602010"</f>
        <v>054602010</v>
      </c>
      <c r="F1903" s="10">
        <v>40270</v>
      </c>
      <c r="G1903" s="11">
        <v>24</v>
      </c>
      <c r="H1903" s="11">
        <v>0</v>
      </c>
      <c r="I1903" s="4"/>
      <c r="J1903" s="4"/>
      <c r="K1903" s="11">
        <v>0</v>
      </c>
      <c r="L1903" s="4"/>
      <c r="M1903" s="4"/>
      <c r="N1903" s="11">
        <v>24</v>
      </c>
      <c r="O1903" s="4" t="s">
        <v>56</v>
      </c>
      <c r="P1903" s="4" t="s">
        <v>57</v>
      </c>
      <c r="Q1903" s="11">
        <v>0</v>
      </c>
      <c r="R1903" s="4"/>
      <c r="S1903" s="12"/>
    </row>
    <row r="1904" spans="1:19" x14ac:dyDescent="0.25">
      <c r="A1904" s="9" t="s">
        <v>1117</v>
      </c>
      <c r="B1904" s="9" t="s">
        <v>291</v>
      </c>
      <c r="C1904" s="4">
        <v>201002741</v>
      </c>
      <c r="D1904" s="4"/>
      <c r="E1904" s="4" t="str">
        <f>"054662010"</f>
        <v>054662010</v>
      </c>
      <c r="F1904" s="10">
        <v>40270</v>
      </c>
      <c r="G1904" s="11">
        <v>357</v>
      </c>
      <c r="H1904" s="11">
        <v>0</v>
      </c>
      <c r="I1904" s="4"/>
      <c r="J1904" s="4"/>
      <c r="K1904" s="11">
        <v>0</v>
      </c>
      <c r="L1904" s="4"/>
      <c r="M1904" s="4"/>
      <c r="N1904" s="11">
        <v>357</v>
      </c>
      <c r="O1904" s="4" t="s">
        <v>308</v>
      </c>
      <c r="P1904" s="4" t="s">
        <v>309</v>
      </c>
      <c r="Q1904" s="11">
        <v>0</v>
      </c>
      <c r="R1904" s="4"/>
      <c r="S1904" s="12"/>
    </row>
    <row r="1905" spans="1:19" x14ac:dyDescent="0.25">
      <c r="A1905" s="9" t="s">
        <v>1117</v>
      </c>
      <c r="B1905" s="9" t="s">
        <v>291</v>
      </c>
      <c r="C1905" s="4">
        <v>201002742</v>
      </c>
      <c r="D1905" s="4" t="s">
        <v>1198</v>
      </c>
      <c r="E1905" s="4" t="str">
        <f>"054742010"</f>
        <v>054742010</v>
      </c>
      <c r="F1905" s="10">
        <v>40281</v>
      </c>
      <c r="G1905" s="11">
        <v>350</v>
      </c>
      <c r="H1905" s="11">
        <v>0</v>
      </c>
      <c r="I1905" s="4"/>
      <c r="J1905" s="4"/>
      <c r="K1905" s="11">
        <v>0</v>
      </c>
      <c r="L1905" s="4"/>
      <c r="M1905" s="4"/>
      <c r="N1905" s="11">
        <v>350</v>
      </c>
      <c r="O1905" s="4" t="s">
        <v>56</v>
      </c>
      <c r="P1905" s="4" t="s">
        <v>57</v>
      </c>
      <c r="Q1905" s="11">
        <v>0</v>
      </c>
      <c r="R1905" s="4"/>
      <c r="S1905" s="12"/>
    </row>
    <row r="1906" spans="1:19" x14ac:dyDescent="0.25">
      <c r="A1906" s="9" t="s">
        <v>1117</v>
      </c>
      <c r="B1906" s="9" t="s">
        <v>291</v>
      </c>
      <c r="C1906" s="4">
        <v>201002746</v>
      </c>
      <c r="D1906" s="4" t="s">
        <v>1373</v>
      </c>
      <c r="E1906" s="4" t="str">
        <f>"055612010"</f>
        <v>055612010</v>
      </c>
      <c r="F1906" s="10">
        <v>40273</v>
      </c>
      <c r="G1906" s="11">
        <v>350</v>
      </c>
      <c r="H1906" s="11">
        <v>0</v>
      </c>
      <c r="I1906" s="4"/>
      <c r="J1906" s="4"/>
      <c r="K1906" s="11">
        <v>0</v>
      </c>
      <c r="L1906" s="4"/>
      <c r="M1906" s="4"/>
      <c r="N1906" s="11">
        <v>350</v>
      </c>
      <c r="O1906" s="4" t="s">
        <v>56</v>
      </c>
      <c r="P1906" s="4" t="s">
        <v>57</v>
      </c>
      <c r="Q1906" s="11">
        <v>0</v>
      </c>
      <c r="R1906" s="4"/>
      <c r="S1906" s="12"/>
    </row>
    <row r="1907" spans="1:19" x14ac:dyDescent="0.25">
      <c r="A1907" s="9" t="s">
        <v>1117</v>
      </c>
      <c r="B1907" s="9" t="s">
        <v>291</v>
      </c>
      <c r="C1907" s="4">
        <v>201002748</v>
      </c>
      <c r="D1907" s="4" t="s">
        <v>1453</v>
      </c>
      <c r="E1907" s="4" t="str">
        <f>"056212010"</f>
        <v>056212010</v>
      </c>
      <c r="F1907" s="10">
        <v>40276</v>
      </c>
      <c r="G1907" s="11">
        <v>364.25</v>
      </c>
      <c r="H1907" s="11">
        <v>0</v>
      </c>
      <c r="I1907" s="4"/>
      <c r="J1907" s="4"/>
      <c r="K1907" s="11">
        <v>0</v>
      </c>
      <c r="L1907" s="4"/>
      <c r="M1907" s="4"/>
      <c r="N1907" s="11">
        <v>364.25</v>
      </c>
      <c r="O1907" s="4" t="s">
        <v>56</v>
      </c>
      <c r="P1907" s="4" t="s">
        <v>57</v>
      </c>
      <c r="Q1907" s="11">
        <v>0</v>
      </c>
      <c r="R1907" s="4"/>
      <c r="S1907" s="12"/>
    </row>
    <row r="1908" spans="1:19" x14ac:dyDescent="0.25">
      <c r="A1908" s="9" t="s">
        <v>1117</v>
      </c>
      <c r="B1908" s="9" t="s">
        <v>291</v>
      </c>
      <c r="C1908" s="4">
        <v>201002754</v>
      </c>
      <c r="D1908" s="4" t="s">
        <v>1192</v>
      </c>
      <c r="E1908" s="4" t="str">
        <f>"054002010"</f>
        <v>054002010</v>
      </c>
      <c r="F1908" s="10">
        <v>40270</v>
      </c>
      <c r="G1908" s="11">
        <v>375</v>
      </c>
      <c r="H1908" s="11">
        <v>0</v>
      </c>
      <c r="I1908" s="4"/>
      <c r="J1908" s="4"/>
      <c r="K1908" s="11">
        <v>0</v>
      </c>
      <c r="L1908" s="4"/>
      <c r="M1908" s="4"/>
      <c r="N1908" s="11">
        <v>375</v>
      </c>
      <c r="O1908" s="4" t="s">
        <v>308</v>
      </c>
      <c r="P1908" s="4" t="s">
        <v>309</v>
      </c>
      <c r="Q1908" s="11">
        <v>0</v>
      </c>
      <c r="R1908" s="4"/>
      <c r="S1908" s="12"/>
    </row>
    <row r="1909" spans="1:19" x14ac:dyDescent="0.25">
      <c r="A1909" s="9" t="s">
        <v>1117</v>
      </c>
      <c r="B1909" s="9" t="s">
        <v>291</v>
      </c>
      <c r="C1909" s="4">
        <v>201002758</v>
      </c>
      <c r="D1909" s="4" t="s">
        <v>1405</v>
      </c>
      <c r="E1909" s="4" t="str">
        <f>"053962010"</f>
        <v>053962010</v>
      </c>
      <c r="F1909" s="10">
        <v>40270</v>
      </c>
      <c r="G1909" s="11">
        <v>7</v>
      </c>
      <c r="H1909" s="11">
        <v>0</v>
      </c>
      <c r="I1909" s="4"/>
      <c r="J1909" s="4"/>
      <c r="K1909" s="11">
        <v>0</v>
      </c>
      <c r="L1909" s="4"/>
      <c r="M1909" s="4"/>
      <c r="N1909" s="11">
        <v>7</v>
      </c>
      <c r="O1909" s="4" t="s">
        <v>308</v>
      </c>
      <c r="P1909" s="4" t="s">
        <v>309</v>
      </c>
      <c r="Q1909" s="11">
        <v>0</v>
      </c>
      <c r="R1909" s="4"/>
      <c r="S1909" s="12"/>
    </row>
    <row r="1910" spans="1:19" x14ac:dyDescent="0.25">
      <c r="A1910" s="9" t="s">
        <v>1117</v>
      </c>
      <c r="B1910" s="9" t="s">
        <v>291</v>
      </c>
      <c r="C1910" s="4">
        <v>201002764</v>
      </c>
      <c r="D1910" s="4" t="s">
        <v>1454</v>
      </c>
      <c r="E1910" s="4" t="str">
        <f>"054322010"</f>
        <v>054322010</v>
      </c>
      <c r="F1910" s="10">
        <v>40270</v>
      </c>
      <c r="G1910" s="11">
        <v>361.76</v>
      </c>
      <c r="H1910" s="11">
        <v>0</v>
      </c>
      <c r="I1910" s="4"/>
      <c r="J1910" s="4"/>
      <c r="K1910" s="11">
        <v>0</v>
      </c>
      <c r="L1910" s="4"/>
      <c r="M1910" s="4"/>
      <c r="N1910" s="11">
        <v>361.76</v>
      </c>
      <c r="O1910" s="4" t="s">
        <v>56</v>
      </c>
      <c r="P1910" s="4" t="s">
        <v>57</v>
      </c>
      <c r="Q1910" s="11">
        <v>0</v>
      </c>
      <c r="R1910" s="4"/>
      <c r="S1910" s="12"/>
    </row>
    <row r="1911" spans="1:19" x14ac:dyDescent="0.25">
      <c r="A1911" s="9" t="s">
        <v>1117</v>
      </c>
      <c r="B1911" s="9" t="s">
        <v>291</v>
      </c>
      <c r="C1911" s="4">
        <v>201002769</v>
      </c>
      <c r="D1911" s="4" t="s">
        <v>1455</v>
      </c>
      <c r="E1911" s="4" t="str">
        <f>"053682010"</f>
        <v>053682010</v>
      </c>
      <c r="F1911" s="10">
        <v>40270</v>
      </c>
      <c r="G1911" s="11">
        <v>350</v>
      </c>
      <c r="H1911" s="11">
        <v>0</v>
      </c>
      <c r="I1911" s="4"/>
      <c r="J1911" s="4"/>
      <c r="K1911" s="11">
        <v>0</v>
      </c>
      <c r="L1911" s="4"/>
      <c r="M1911" s="4"/>
      <c r="N1911" s="11">
        <v>350</v>
      </c>
      <c r="O1911" s="4" t="s">
        <v>56</v>
      </c>
      <c r="P1911" s="4" t="s">
        <v>57</v>
      </c>
      <c r="Q1911" s="11">
        <v>0</v>
      </c>
      <c r="R1911" s="4"/>
      <c r="S1911" s="12"/>
    </row>
    <row r="1912" spans="1:19" x14ac:dyDescent="0.25">
      <c r="A1912" s="9" t="s">
        <v>1117</v>
      </c>
      <c r="B1912" s="9" t="s">
        <v>291</v>
      </c>
      <c r="C1912" s="4">
        <v>201002771</v>
      </c>
      <c r="D1912" s="4" t="s">
        <v>354</v>
      </c>
      <c r="E1912" s="4" t="str">
        <f>"054302010"</f>
        <v>054302010</v>
      </c>
      <c r="F1912" s="10">
        <v>40270</v>
      </c>
      <c r="G1912" s="11">
        <v>353.22</v>
      </c>
      <c r="H1912" s="11">
        <v>0</v>
      </c>
      <c r="I1912" s="4"/>
      <c r="J1912" s="4"/>
      <c r="K1912" s="11">
        <v>0</v>
      </c>
      <c r="L1912" s="4"/>
      <c r="M1912" s="4"/>
      <c r="N1912" s="11">
        <v>353.22</v>
      </c>
      <c r="O1912" s="4" t="s">
        <v>56</v>
      </c>
      <c r="P1912" s="4" t="s">
        <v>57</v>
      </c>
      <c r="Q1912" s="11">
        <v>0</v>
      </c>
      <c r="R1912" s="4"/>
      <c r="S1912" s="12"/>
    </row>
    <row r="1913" spans="1:19" x14ac:dyDescent="0.25">
      <c r="A1913" s="9" t="s">
        <v>1117</v>
      </c>
      <c r="B1913" s="9" t="s">
        <v>291</v>
      </c>
      <c r="C1913" s="4">
        <v>201002777</v>
      </c>
      <c r="D1913" s="4"/>
      <c r="E1913" s="4" t="str">
        <f>"055252010"</f>
        <v>055252010</v>
      </c>
      <c r="F1913" s="10">
        <v>40273</v>
      </c>
      <c r="G1913" s="11">
        <v>350</v>
      </c>
      <c r="H1913" s="11">
        <v>0</v>
      </c>
      <c r="I1913" s="4"/>
      <c r="J1913" s="4"/>
      <c r="K1913" s="11">
        <v>0</v>
      </c>
      <c r="L1913" s="4"/>
      <c r="M1913" s="4"/>
      <c r="N1913" s="11">
        <v>350</v>
      </c>
      <c r="O1913" s="4" t="s">
        <v>56</v>
      </c>
      <c r="P1913" s="4" t="s">
        <v>57</v>
      </c>
      <c r="Q1913" s="11">
        <v>0</v>
      </c>
      <c r="R1913" s="4"/>
      <c r="S1913" s="12"/>
    </row>
    <row r="1914" spans="1:19" x14ac:dyDescent="0.25">
      <c r="A1914" s="9" t="s">
        <v>1117</v>
      </c>
      <c r="B1914" s="9" t="s">
        <v>291</v>
      </c>
      <c r="C1914" s="4">
        <v>201002779</v>
      </c>
      <c r="D1914" s="4" t="s">
        <v>1131</v>
      </c>
      <c r="E1914" s="4" t="str">
        <f>"055212010"</f>
        <v>055212010</v>
      </c>
      <c r="F1914" s="10">
        <v>40273</v>
      </c>
      <c r="G1914" s="11">
        <v>350</v>
      </c>
      <c r="H1914" s="11">
        <v>0</v>
      </c>
      <c r="I1914" s="4"/>
      <c r="J1914" s="4"/>
      <c r="K1914" s="11">
        <v>0</v>
      </c>
      <c r="L1914" s="4"/>
      <c r="M1914" s="4"/>
      <c r="N1914" s="11">
        <v>350</v>
      </c>
      <c r="O1914" s="4" t="s">
        <v>56</v>
      </c>
      <c r="P1914" s="4" t="s">
        <v>57</v>
      </c>
      <c r="Q1914" s="11">
        <v>0</v>
      </c>
      <c r="R1914" s="4"/>
      <c r="S1914" s="12"/>
    </row>
    <row r="1915" spans="1:19" x14ac:dyDescent="0.25">
      <c r="A1915" s="9" t="s">
        <v>1117</v>
      </c>
      <c r="B1915" s="9" t="s">
        <v>291</v>
      </c>
      <c r="C1915" s="4">
        <v>201002780</v>
      </c>
      <c r="D1915" s="4" t="s">
        <v>1456</v>
      </c>
      <c r="E1915" s="4" t="str">
        <f>"056552010"</f>
        <v>056552010</v>
      </c>
      <c r="F1915" s="10">
        <v>40276</v>
      </c>
      <c r="G1915" s="11">
        <v>350</v>
      </c>
      <c r="H1915" s="11">
        <v>0</v>
      </c>
      <c r="I1915" s="4"/>
      <c r="J1915" s="4"/>
      <c r="K1915" s="11">
        <v>0</v>
      </c>
      <c r="L1915" s="4"/>
      <c r="M1915" s="4"/>
      <c r="N1915" s="11">
        <v>350</v>
      </c>
      <c r="O1915" s="4" t="s">
        <v>56</v>
      </c>
      <c r="P1915" s="4" t="s">
        <v>57</v>
      </c>
      <c r="Q1915" s="11">
        <v>0</v>
      </c>
      <c r="R1915" s="4"/>
      <c r="S1915" s="12"/>
    </row>
    <row r="1916" spans="1:19" x14ac:dyDescent="0.25">
      <c r="A1916" s="9" t="s">
        <v>1117</v>
      </c>
      <c r="B1916" s="9" t="s">
        <v>291</v>
      </c>
      <c r="C1916" s="4">
        <v>201002781</v>
      </c>
      <c r="D1916" s="4" t="s">
        <v>1457</v>
      </c>
      <c r="E1916" s="4" t="str">
        <f>"055192010"</f>
        <v>055192010</v>
      </c>
      <c r="F1916" s="10">
        <v>40273</v>
      </c>
      <c r="G1916" s="11">
        <v>250</v>
      </c>
      <c r="H1916" s="11">
        <v>0</v>
      </c>
      <c r="I1916" s="4"/>
      <c r="J1916" s="4"/>
      <c r="K1916" s="11">
        <v>0</v>
      </c>
      <c r="L1916" s="4"/>
      <c r="M1916" s="4"/>
      <c r="N1916" s="11">
        <v>250</v>
      </c>
      <c r="O1916" s="4" t="s">
        <v>56</v>
      </c>
      <c r="P1916" s="4" t="s">
        <v>57</v>
      </c>
      <c r="Q1916" s="11">
        <v>0</v>
      </c>
      <c r="R1916" s="4"/>
      <c r="S1916" s="12"/>
    </row>
    <row r="1917" spans="1:19" x14ac:dyDescent="0.25">
      <c r="A1917" s="9" t="s">
        <v>1117</v>
      </c>
      <c r="B1917" s="9" t="s">
        <v>291</v>
      </c>
      <c r="C1917" s="4">
        <v>201002782</v>
      </c>
      <c r="D1917" s="4"/>
      <c r="E1917" s="4" t="str">
        <f>"055172010"</f>
        <v>055172010</v>
      </c>
      <c r="F1917" s="10">
        <v>40273</v>
      </c>
      <c r="G1917" s="11">
        <v>350</v>
      </c>
      <c r="H1917" s="11">
        <v>0</v>
      </c>
      <c r="I1917" s="4"/>
      <c r="J1917" s="4"/>
      <c r="K1917" s="11">
        <v>0</v>
      </c>
      <c r="L1917" s="4"/>
      <c r="M1917" s="4"/>
      <c r="N1917" s="11">
        <v>350</v>
      </c>
      <c r="O1917" s="4" t="s">
        <v>56</v>
      </c>
      <c r="P1917" s="4" t="s">
        <v>57</v>
      </c>
      <c r="Q1917" s="11">
        <v>0</v>
      </c>
      <c r="R1917" s="4"/>
      <c r="S1917" s="12"/>
    </row>
    <row r="1918" spans="1:19" x14ac:dyDescent="0.25">
      <c r="A1918" s="9" t="s">
        <v>1117</v>
      </c>
      <c r="B1918" s="9" t="s">
        <v>291</v>
      </c>
      <c r="C1918" s="4">
        <v>201002788</v>
      </c>
      <c r="D1918" s="4" t="s">
        <v>1458</v>
      </c>
      <c r="E1918" s="4" t="str">
        <f>"055072010"</f>
        <v>055072010</v>
      </c>
      <c r="F1918" s="10">
        <v>40281</v>
      </c>
      <c r="G1918" s="11">
        <v>350</v>
      </c>
      <c r="H1918" s="11">
        <v>0</v>
      </c>
      <c r="I1918" s="4"/>
      <c r="J1918" s="4"/>
      <c r="K1918" s="11">
        <v>0</v>
      </c>
      <c r="L1918" s="4"/>
      <c r="M1918" s="4"/>
      <c r="N1918" s="11">
        <v>350</v>
      </c>
      <c r="O1918" s="4" t="s">
        <v>56</v>
      </c>
      <c r="P1918" s="4" t="s">
        <v>57</v>
      </c>
      <c r="Q1918" s="11">
        <v>0</v>
      </c>
      <c r="R1918" s="4"/>
      <c r="S1918" s="12"/>
    </row>
    <row r="1919" spans="1:19" x14ac:dyDescent="0.25">
      <c r="A1919" s="9" t="s">
        <v>1117</v>
      </c>
      <c r="B1919" s="9" t="s">
        <v>291</v>
      </c>
      <c r="C1919" s="4">
        <v>201002801</v>
      </c>
      <c r="D1919" s="4" t="s">
        <v>1459</v>
      </c>
      <c r="E1919" s="4" t="str">
        <f>"054882010"</f>
        <v>054882010</v>
      </c>
      <c r="F1919" s="10">
        <v>40281</v>
      </c>
      <c r="G1919" s="11">
        <v>10000</v>
      </c>
      <c r="H1919" s="11">
        <v>10000</v>
      </c>
      <c r="I1919" s="4" t="s">
        <v>123</v>
      </c>
      <c r="J1919" s="4" t="s">
        <v>124</v>
      </c>
      <c r="K1919" s="11">
        <v>0</v>
      </c>
      <c r="L1919" s="4"/>
      <c r="M1919" s="4"/>
      <c r="N1919" s="11">
        <v>0</v>
      </c>
      <c r="O1919" s="4"/>
      <c r="P1919" s="4"/>
      <c r="Q1919" s="11">
        <v>0</v>
      </c>
      <c r="R1919" s="4"/>
      <c r="S1919" s="12"/>
    </row>
    <row r="1920" spans="1:19" x14ac:dyDescent="0.25">
      <c r="A1920" s="9" t="s">
        <v>1117</v>
      </c>
      <c r="B1920" s="9" t="s">
        <v>291</v>
      </c>
      <c r="C1920" s="4">
        <v>201002807</v>
      </c>
      <c r="D1920" s="4" t="s">
        <v>1460</v>
      </c>
      <c r="E1920" s="4" t="str">
        <f>"059942010"</f>
        <v>059942010</v>
      </c>
      <c r="F1920" s="10">
        <v>40290</v>
      </c>
      <c r="G1920" s="11">
        <v>369.06</v>
      </c>
      <c r="H1920" s="11">
        <v>0</v>
      </c>
      <c r="I1920" s="4"/>
      <c r="J1920" s="4"/>
      <c r="K1920" s="11">
        <v>0</v>
      </c>
      <c r="L1920" s="4"/>
      <c r="M1920" s="4"/>
      <c r="N1920" s="11">
        <v>369.06</v>
      </c>
      <c r="O1920" s="4" t="s">
        <v>56</v>
      </c>
      <c r="P1920" s="4" t="s">
        <v>57</v>
      </c>
      <c r="Q1920" s="11">
        <v>0</v>
      </c>
      <c r="R1920" s="4"/>
      <c r="S1920" s="12"/>
    </row>
    <row r="1921" spans="1:19" x14ac:dyDescent="0.25">
      <c r="A1921" s="9" t="s">
        <v>1117</v>
      </c>
      <c r="B1921" s="9" t="s">
        <v>291</v>
      </c>
      <c r="C1921" s="4">
        <v>201002812</v>
      </c>
      <c r="D1921" s="4" t="s">
        <v>1317</v>
      </c>
      <c r="E1921" s="4" t="str">
        <f>"055132010"</f>
        <v>055132010</v>
      </c>
      <c r="F1921" s="10">
        <v>40273</v>
      </c>
      <c r="G1921" s="11">
        <v>14.7</v>
      </c>
      <c r="H1921" s="11">
        <v>0</v>
      </c>
      <c r="I1921" s="4"/>
      <c r="J1921" s="4"/>
      <c r="K1921" s="11">
        <v>0</v>
      </c>
      <c r="L1921" s="4"/>
      <c r="M1921" s="4"/>
      <c r="N1921" s="11">
        <v>14.7</v>
      </c>
      <c r="O1921" s="4" t="s">
        <v>56</v>
      </c>
      <c r="P1921" s="4" t="s">
        <v>57</v>
      </c>
      <c r="Q1921" s="11">
        <v>0</v>
      </c>
      <c r="R1921" s="4"/>
      <c r="S1921" s="12"/>
    </row>
    <row r="1922" spans="1:19" x14ac:dyDescent="0.25">
      <c r="A1922" s="9" t="s">
        <v>1117</v>
      </c>
      <c r="B1922" s="9" t="s">
        <v>291</v>
      </c>
      <c r="C1922" s="4">
        <v>201002819</v>
      </c>
      <c r="D1922" s="4" t="s">
        <v>1461</v>
      </c>
      <c r="E1922" s="4" t="str">
        <f>"055952010"</f>
        <v>055952010</v>
      </c>
      <c r="F1922" s="10">
        <v>40275</v>
      </c>
      <c r="G1922" s="11">
        <v>350</v>
      </c>
      <c r="H1922" s="11">
        <v>0</v>
      </c>
      <c r="I1922" s="4"/>
      <c r="J1922" s="4"/>
      <c r="K1922" s="11">
        <v>0</v>
      </c>
      <c r="L1922" s="4"/>
      <c r="M1922" s="4"/>
      <c r="N1922" s="11">
        <v>350</v>
      </c>
      <c r="O1922" s="4" t="s">
        <v>56</v>
      </c>
      <c r="P1922" s="4" t="s">
        <v>57</v>
      </c>
      <c r="Q1922" s="11">
        <v>0</v>
      </c>
      <c r="R1922" s="4"/>
      <c r="S1922" s="12"/>
    </row>
    <row r="1923" spans="1:19" x14ac:dyDescent="0.25">
      <c r="A1923" s="9" t="s">
        <v>1117</v>
      </c>
      <c r="B1923" s="9" t="s">
        <v>291</v>
      </c>
      <c r="C1923" s="4">
        <v>201002820</v>
      </c>
      <c r="D1923" s="4" t="s">
        <v>1462</v>
      </c>
      <c r="E1923" s="4" t="str">
        <f>"055792010"</f>
        <v>055792010</v>
      </c>
      <c r="F1923" s="10">
        <v>40273</v>
      </c>
      <c r="G1923" s="11">
        <v>350</v>
      </c>
      <c r="H1923" s="11">
        <v>0</v>
      </c>
      <c r="I1923" s="4"/>
      <c r="J1923" s="4"/>
      <c r="K1923" s="11">
        <v>0</v>
      </c>
      <c r="L1923" s="4"/>
      <c r="M1923" s="4"/>
      <c r="N1923" s="11">
        <v>350</v>
      </c>
      <c r="O1923" s="4" t="s">
        <v>56</v>
      </c>
      <c r="P1923" s="4" t="s">
        <v>57</v>
      </c>
      <c r="Q1923" s="11">
        <v>0</v>
      </c>
      <c r="R1923" s="4"/>
      <c r="S1923" s="12"/>
    </row>
    <row r="1924" spans="1:19" x14ac:dyDescent="0.25">
      <c r="A1924" s="9" t="s">
        <v>1117</v>
      </c>
      <c r="B1924" s="9" t="s">
        <v>291</v>
      </c>
      <c r="C1924" s="4">
        <v>201002822</v>
      </c>
      <c r="D1924" s="4" t="s">
        <v>1435</v>
      </c>
      <c r="E1924" s="4" t="str">
        <f>"055772010"</f>
        <v>055772010</v>
      </c>
      <c r="F1924" s="10">
        <v>40273</v>
      </c>
      <c r="G1924" s="11">
        <v>350</v>
      </c>
      <c r="H1924" s="11">
        <v>0</v>
      </c>
      <c r="I1924" s="4"/>
      <c r="J1924" s="4"/>
      <c r="K1924" s="11">
        <v>0</v>
      </c>
      <c r="L1924" s="4"/>
      <c r="M1924" s="4"/>
      <c r="N1924" s="11">
        <v>350</v>
      </c>
      <c r="O1924" s="4" t="s">
        <v>56</v>
      </c>
      <c r="P1924" s="4" t="s">
        <v>57</v>
      </c>
      <c r="Q1924" s="11">
        <v>0</v>
      </c>
      <c r="R1924" s="4"/>
      <c r="S1924" s="12"/>
    </row>
    <row r="1925" spans="1:19" x14ac:dyDescent="0.25">
      <c r="A1925" s="9" t="s">
        <v>1117</v>
      </c>
      <c r="B1925" s="9" t="s">
        <v>291</v>
      </c>
      <c r="C1925" s="4">
        <v>201002847</v>
      </c>
      <c r="D1925" s="4" t="s">
        <v>1463</v>
      </c>
      <c r="E1925" s="4" t="str">
        <f>"056012010"</f>
        <v>056012010</v>
      </c>
      <c r="F1925" s="10">
        <v>40275</v>
      </c>
      <c r="G1925" s="11">
        <v>350</v>
      </c>
      <c r="H1925" s="11">
        <v>0</v>
      </c>
      <c r="I1925" s="4"/>
      <c r="J1925" s="4"/>
      <c r="K1925" s="11">
        <v>0</v>
      </c>
      <c r="L1925" s="4"/>
      <c r="M1925" s="4"/>
      <c r="N1925" s="11">
        <v>350</v>
      </c>
      <c r="O1925" s="4" t="s">
        <v>56</v>
      </c>
      <c r="P1925" s="4" t="s">
        <v>57</v>
      </c>
      <c r="Q1925" s="11">
        <v>0</v>
      </c>
      <c r="R1925" s="4"/>
      <c r="S1925" s="12"/>
    </row>
    <row r="1926" spans="1:19" x14ac:dyDescent="0.25">
      <c r="A1926" s="9" t="s">
        <v>1117</v>
      </c>
      <c r="B1926" s="9" t="s">
        <v>291</v>
      </c>
      <c r="C1926" s="4">
        <v>201002879</v>
      </c>
      <c r="D1926" s="4" t="s">
        <v>1464</v>
      </c>
      <c r="E1926" s="4" t="str">
        <f>"057062010"</f>
        <v>057062010</v>
      </c>
      <c r="F1926" s="10">
        <v>40281</v>
      </c>
      <c r="G1926" s="11">
        <v>91.14</v>
      </c>
      <c r="H1926" s="11">
        <v>0</v>
      </c>
      <c r="I1926" s="4"/>
      <c r="J1926" s="4"/>
      <c r="K1926" s="11">
        <v>0</v>
      </c>
      <c r="L1926" s="4"/>
      <c r="M1926" s="4"/>
      <c r="N1926" s="11">
        <v>91.14</v>
      </c>
      <c r="O1926" s="4" t="s">
        <v>56</v>
      </c>
      <c r="P1926" s="4" t="s">
        <v>57</v>
      </c>
      <c r="Q1926" s="11">
        <v>0</v>
      </c>
      <c r="R1926" s="4"/>
      <c r="S1926" s="12"/>
    </row>
    <row r="1927" spans="1:19" x14ac:dyDescent="0.25">
      <c r="A1927" s="9" t="s">
        <v>1117</v>
      </c>
      <c r="B1927" s="9" t="s">
        <v>291</v>
      </c>
      <c r="C1927" s="4">
        <v>201002880</v>
      </c>
      <c r="D1927" s="4" t="s">
        <v>1465</v>
      </c>
      <c r="E1927" s="4" t="str">
        <f>"056572010"</f>
        <v>056572010</v>
      </c>
      <c r="F1927" s="10">
        <v>40276</v>
      </c>
      <c r="G1927" s="11">
        <v>350</v>
      </c>
      <c r="H1927" s="11">
        <v>0</v>
      </c>
      <c r="I1927" s="4"/>
      <c r="J1927" s="4"/>
      <c r="K1927" s="11">
        <v>0</v>
      </c>
      <c r="L1927" s="4"/>
      <c r="M1927" s="4"/>
      <c r="N1927" s="11">
        <v>350</v>
      </c>
      <c r="O1927" s="4" t="s">
        <v>56</v>
      </c>
      <c r="P1927" s="4" t="s">
        <v>57</v>
      </c>
      <c r="Q1927" s="11">
        <v>0</v>
      </c>
      <c r="R1927" s="4"/>
      <c r="S1927" s="12"/>
    </row>
    <row r="1928" spans="1:19" x14ac:dyDescent="0.25">
      <c r="A1928" s="9" t="s">
        <v>1117</v>
      </c>
      <c r="B1928" s="9" t="s">
        <v>291</v>
      </c>
      <c r="C1928" s="4">
        <v>201002881</v>
      </c>
      <c r="D1928" s="4"/>
      <c r="E1928" s="4" t="str">
        <f>"057082010"</f>
        <v>057082010</v>
      </c>
      <c r="F1928" s="10">
        <v>40281</v>
      </c>
      <c r="G1928" s="11">
        <v>364.01</v>
      </c>
      <c r="H1928" s="11">
        <v>0</v>
      </c>
      <c r="I1928" s="4"/>
      <c r="J1928" s="4"/>
      <c r="K1928" s="11">
        <v>0</v>
      </c>
      <c r="L1928" s="4"/>
      <c r="M1928" s="4"/>
      <c r="N1928" s="11">
        <v>364.01</v>
      </c>
      <c r="O1928" s="4" t="s">
        <v>56</v>
      </c>
      <c r="P1928" s="4" t="s">
        <v>57</v>
      </c>
      <c r="Q1928" s="11">
        <v>0</v>
      </c>
      <c r="R1928" s="4"/>
      <c r="S1928" s="12"/>
    </row>
    <row r="1929" spans="1:19" x14ac:dyDescent="0.25">
      <c r="A1929" s="9" t="s">
        <v>1117</v>
      </c>
      <c r="B1929" s="9" t="s">
        <v>291</v>
      </c>
      <c r="C1929" s="4">
        <v>201002882</v>
      </c>
      <c r="D1929" s="4" t="s">
        <v>1466</v>
      </c>
      <c r="E1929" s="4" t="str">
        <f>"056592010"</f>
        <v>056592010</v>
      </c>
      <c r="F1929" s="10">
        <v>40276</v>
      </c>
      <c r="G1929" s="11">
        <v>350</v>
      </c>
      <c r="H1929" s="11">
        <v>0</v>
      </c>
      <c r="I1929" s="4"/>
      <c r="J1929" s="4"/>
      <c r="K1929" s="11">
        <v>0</v>
      </c>
      <c r="L1929" s="4"/>
      <c r="M1929" s="4"/>
      <c r="N1929" s="11">
        <v>350</v>
      </c>
      <c r="O1929" s="4" t="s">
        <v>56</v>
      </c>
      <c r="P1929" s="4" t="s">
        <v>57</v>
      </c>
      <c r="Q1929" s="11">
        <v>0</v>
      </c>
      <c r="R1929" s="4"/>
      <c r="S1929" s="12"/>
    </row>
    <row r="1930" spans="1:19" x14ac:dyDescent="0.25">
      <c r="A1930" s="9" t="s">
        <v>1117</v>
      </c>
      <c r="B1930" s="9" t="s">
        <v>291</v>
      </c>
      <c r="C1930" s="4">
        <v>201002887</v>
      </c>
      <c r="D1930" s="4" t="s">
        <v>353</v>
      </c>
      <c r="E1930" s="4" t="str">
        <f>"057382010"</f>
        <v>057382010</v>
      </c>
      <c r="F1930" s="10">
        <v>40296</v>
      </c>
      <c r="G1930" s="11">
        <v>350</v>
      </c>
      <c r="H1930" s="11">
        <v>0</v>
      </c>
      <c r="I1930" s="4"/>
      <c r="J1930" s="4"/>
      <c r="K1930" s="11">
        <v>0</v>
      </c>
      <c r="L1930" s="4"/>
      <c r="M1930" s="4"/>
      <c r="N1930" s="11">
        <v>350</v>
      </c>
      <c r="O1930" s="4" t="s">
        <v>56</v>
      </c>
      <c r="P1930" s="4" t="s">
        <v>57</v>
      </c>
      <c r="Q1930" s="11">
        <v>0</v>
      </c>
      <c r="R1930" s="4"/>
      <c r="S1930" s="12"/>
    </row>
    <row r="1931" spans="1:19" x14ac:dyDescent="0.25">
      <c r="A1931" s="9" t="s">
        <v>1117</v>
      </c>
      <c r="B1931" s="9" t="s">
        <v>291</v>
      </c>
      <c r="C1931" s="4">
        <v>201002890</v>
      </c>
      <c r="D1931" s="4" t="s">
        <v>1467</v>
      </c>
      <c r="E1931" s="4" t="str">
        <f>"056852010"</f>
        <v>056852010</v>
      </c>
      <c r="F1931" s="10">
        <v>40277</v>
      </c>
      <c r="G1931" s="11">
        <v>24</v>
      </c>
      <c r="H1931" s="11">
        <v>0</v>
      </c>
      <c r="I1931" s="4"/>
      <c r="J1931" s="4"/>
      <c r="K1931" s="11">
        <v>0</v>
      </c>
      <c r="L1931" s="4"/>
      <c r="M1931" s="4"/>
      <c r="N1931" s="11">
        <v>24</v>
      </c>
      <c r="O1931" s="4" t="s">
        <v>56</v>
      </c>
      <c r="P1931" s="4" t="s">
        <v>57</v>
      </c>
      <c r="Q1931" s="11">
        <v>0</v>
      </c>
      <c r="R1931" s="4"/>
      <c r="S1931" s="12"/>
    </row>
    <row r="1932" spans="1:19" x14ac:dyDescent="0.25">
      <c r="A1932" s="9" t="s">
        <v>1117</v>
      </c>
      <c r="B1932" s="9" t="s">
        <v>291</v>
      </c>
      <c r="C1932" s="4">
        <v>201002892</v>
      </c>
      <c r="D1932" s="4" t="s">
        <v>1185</v>
      </c>
      <c r="E1932" s="4" t="str">
        <f>"057702010"</f>
        <v>057702010</v>
      </c>
      <c r="F1932" s="10">
        <v>40284</v>
      </c>
      <c r="G1932" s="11">
        <v>373</v>
      </c>
      <c r="H1932" s="11">
        <v>0</v>
      </c>
      <c r="I1932" s="4"/>
      <c r="J1932" s="4"/>
      <c r="K1932" s="11">
        <v>0</v>
      </c>
      <c r="L1932" s="4"/>
      <c r="M1932" s="4"/>
      <c r="N1932" s="11">
        <v>373</v>
      </c>
      <c r="O1932" s="4" t="s">
        <v>56</v>
      </c>
      <c r="P1932" s="4" t="s">
        <v>57</v>
      </c>
      <c r="Q1932" s="11">
        <v>0</v>
      </c>
      <c r="R1932" s="4"/>
      <c r="S1932" s="12"/>
    </row>
    <row r="1933" spans="1:19" x14ac:dyDescent="0.25">
      <c r="A1933" s="9" t="s">
        <v>1117</v>
      </c>
      <c r="B1933" s="9" t="s">
        <v>291</v>
      </c>
      <c r="C1933" s="4">
        <v>201002893</v>
      </c>
      <c r="D1933" s="4" t="s">
        <v>1468</v>
      </c>
      <c r="E1933" s="4" t="str">
        <f>"057122010"</f>
        <v>057122010</v>
      </c>
      <c r="F1933" s="10">
        <v>40281</v>
      </c>
      <c r="G1933" s="11">
        <v>350</v>
      </c>
      <c r="H1933" s="11">
        <v>0</v>
      </c>
      <c r="I1933" s="4"/>
      <c r="J1933" s="4"/>
      <c r="K1933" s="11">
        <v>0</v>
      </c>
      <c r="L1933" s="4"/>
      <c r="M1933" s="4"/>
      <c r="N1933" s="11">
        <v>350</v>
      </c>
      <c r="O1933" s="4" t="s">
        <v>56</v>
      </c>
      <c r="P1933" s="4" t="s">
        <v>57</v>
      </c>
      <c r="Q1933" s="11">
        <v>0</v>
      </c>
      <c r="R1933" s="4"/>
      <c r="S1933" s="12"/>
    </row>
    <row r="1934" spans="1:19" x14ac:dyDescent="0.25">
      <c r="A1934" s="9" t="s">
        <v>1117</v>
      </c>
      <c r="B1934" s="9" t="s">
        <v>291</v>
      </c>
      <c r="C1934" s="4">
        <v>201002902</v>
      </c>
      <c r="D1934" s="4" t="s">
        <v>1134</v>
      </c>
      <c r="E1934" s="4" t="str">
        <f>"057002010"</f>
        <v>057002010</v>
      </c>
      <c r="F1934" s="10">
        <v>40281</v>
      </c>
      <c r="G1934" s="11">
        <v>350</v>
      </c>
      <c r="H1934" s="11">
        <v>0</v>
      </c>
      <c r="I1934" s="4"/>
      <c r="J1934" s="4"/>
      <c r="K1934" s="11">
        <v>0</v>
      </c>
      <c r="L1934" s="4"/>
      <c r="M1934" s="4"/>
      <c r="N1934" s="11">
        <v>350</v>
      </c>
      <c r="O1934" s="4" t="s">
        <v>56</v>
      </c>
      <c r="P1934" s="4" t="s">
        <v>57</v>
      </c>
      <c r="Q1934" s="11">
        <v>0</v>
      </c>
      <c r="R1934" s="4"/>
      <c r="S1934" s="12"/>
    </row>
    <row r="1935" spans="1:19" x14ac:dyDescent="0.25">
      <c r="A1935" s="9" t="s">
        <v>1117</v>
      </c>
      <c r="B1935" s="9" t="s">
        <v>291</v>
      </c>
      <c r="C1935" s="4">
        <v>201002908</v>
      </c>
      <c r="D1935" s="4" t="s">
        <v>1469</v>
      </c>
      <c r="E1935" s="4" t="str">
        <f>"058552010"</f>
        <v>058552010</v>
      </c>
      <c r="F1935" s="10">
        <v>40283</v>
      </c>
      <c r="G1935" s="11">
        <v>350</v>
      </c>
      <c r="H1935" s="11">
        <v>0</v>
      </c>
      <c r="I1935" s="4"/>
      <c r="J1935" s="4"/>
      <c r="K1935" s="11">
        <v>0</v>
      </c>
      <c r="L1935" s="4"/>
      <c r="M1935" s="4"/>
      <c r="N1935" s="11">
        <v>350</v>
      </c>
      <c r="O1935" s="4" t="s">
        <v>56</v>
      </c>
      <c r="P1935" s="4" t="s">
        <v>57</v>
      </c>
      <c r="Q1935" s="11">
        <v>0</v>
      </c>
      <c r="R1935" s="4"/>
      <c r="S1935" s="12"/>
    </row>
    <row r="1936" spans="1:19" x14ac:dyDescent="0.25">
      <c r="A1936" s="9" t="s">
        <v>1117</v>
      </c>
      <c r="B1936" s="9" t="s">
        <v>291</v>
      </c>
      <c r="C1936" s="4">
        <v>201002910</v>
      </c>
      <c r="D1936" s="4" t="s">
        <v>1470</v>
      </c>
      <c r="E1936" s="4" t="str">
        <f>"057402010"</f>
        <v>057402010</v>
      </c>
      <c r="F1936" s="10">
        <v>40295</v>
      </c>
      <c r="G1936" s="11">
        <v>367.3</v>
      </c>
      <c r="H1936" s="11">
        <v>0</v>
      </c>
      <c r="I1936" s="4"/>
      <c r="J1936" s="4"/>
      <c r="K1936" s="11">
        <v>0</v>
      </c>
      <c r="L1936" s="4"/>
      <c r="M1936" s="4"/>
      <c r="N1936" s="11">
        <v>367.3</v>
      </c>
      <c r="O1936" s="4" t="s">
        <v>56</v>
      </c>
      <c r="P1936" s="4" t="s">
        <v>57</v>
      </c>
      <c r="Q1936" s="11">
        <v>0</v>
      </c>
      <c r="R1936" s="4"/>
      <c r="S1936" s="12"/>
    </row>
    <row r="1937" spans="1:19" x14ac:dyDescent="0.25">
      <c r="A1937" s="9" t="s">
        <v>1117</v>
      </c>
      <c r="B1937" s="9" t="s">
        <v>291</v>
      </c>
      <c r="C1937" s="4">
        <v>201002911</v>
      </c>
      <c r="D1937" s="4" t="s">
        <v>1471</v>
      </c>
      <c r="E1937" s="4" t="str">
        <f>"057662010"</f>
        <v>057662010</v>
      </c>
      <c r="F1937" s="10">
        <v>40283</v>
      </c>
      <c r="G1937" s="11">
        <v>366.47</v>
      </c>
      <c r="H1937" s="11">
        <v>0</v>
      </c>
      <c r="I1937" s="4"/>
      <c r="J1937" s="4"/>
      <c r="K1937" s="11">
        <v>0</v>
      </c>
      <c r="L1937" s="4"/>
      <c r="M1937" s="4"/>
      <c r="N1937" s="11">
        <v>366.47</v>
      </c>
      <c r="O1937" s="4" t="s">
        <v>56</v>
      </c>
      <c r="P1937" s="4" t="s">
        <v>57</v>
      </c>
      <c r="Q1937" s="11">
        <v>0</v>
      </c>
      <c r="R1937" s="4"/>
      <c r="S1937" s="12"/>
    </row>
    <row r="1938" spans="1:19" x14ac:dyDescent="0.25">
      <c r="A1938" s="9" t="s">
        <v>1117</v>
      </c>
      <c r="B1938" s="9" t="s">
        <v>291</v>
      </c>
      <c r="C1938" s="4">
        <v>201002915</v>
      </c>
      <c r="D1938" s="4" t="s">
        <v>1320</v>
      </c>
      <c r="E1938" s="4" t="str">
        <f>"057622010"</f>
        <v>057622010</v>
      </c>
      <c r="F1938" s="10">
        <v>40295</v>
      </c>
      <c r="G1938" s="11">
        <v>350</v>
      </c>
      <c r="H1938" s="11">
        <v>0</v>
      </c>
      <c r="I1938" s="4"/>
      <c r="J1938" s="4"/>
      <c r="K1938" s="11">
        <v>0</v>
      </c>
      <c r="L1938" s="4"/>
      <c r="M1938" s="4"/>
      <c r="N1938" s="11">
        <v>350</v>
      </c>
      <c r="O1938" s="4" t="s">
        <v>56</v>
      </c>
      <c r="P1938" s="4" t="s">
        <v>57</v>
      </c>
      <c r="Q1938" s="11">
        <v>0</v>
      </c>
      <c r="R1938" s="4"/>
      <c r="S1938" s="12"/>
    </row>
    <row r="1939" spans="1:19" x14ac:dyDescent="0.25">
      <c r="A1939" s="9" t="s">
        <v>1117</v>
      </c>
      <c r="B1939" s="9" t="s">
        <v>291</v>
      </c>
      <c r="C1939" s="4">
        <v>201002939</v>
      </c>
      <c r="D1939" s="4" t="s">
        <v>353</v>
      </c>
      <c r="E1939" s="4" t="str">
        <f>"058372010"</f>
        <v>058372010</v>
      </c>
      <c r="F1939" s="10">
        <v>40284</v>
      </c>
      <c r="G1939" s="11">
        <v>805</v>
      </c>
      <c r="H1939" s="11">
        <v>0</v>
      </c>
      <c r="I1939" s="4"/>
      <c r="J1939" s="4"/>
      <c r="K1939" s="11">
        <v>0</v>
      </c>
      <c r="L1939" s="4"/>
      <c r="M1939" s="4"/>
      <c r="N1939" s="11">
        <v>805</v>
      </c>
      <c r="O1939" s="4" t="s">
        <v>56</v>
      </c>
      <c r="P1939" s="4" t="s">
        <v>57</v>
      </c>
      <c r="Q1939" s="11">
        <v>0</v>
      </c>
      <c r="R1939" s="4"/>
      <c r="S1939" s="12"/>
    </row>
    <row r="1940" spans="1:19" x14ac:dyDescent="0.25">
      <c r="A1940" s="9" t="s">
        <v>1117</v>
      </c>
      <c r="B1940" s="9" t="s">
        <v>291</v>
      </c>
      <c r="C1940" s="4">
        <v>201002941</v>
      </c>
      <c r="D1940" s="4" t="s">
        <v>1246</v>
      </c>
      <c r="E1940" s="4" t="str">
        <f>"058652010"</f>
        <v>058652010</v>
      </c>
      <c r="F1940" s="10">
        <v>40284</v>
      </c>
      <c r="G1940" s="11">
        <v>374.2</v>
      </c>
      <c r="H1940" s="11">
        <v>0</v>
      </c>
      <c r="I1940" s="4"/>
      <c r="J1940" s="4"/>
      <c r="K1940" s="11">
        <v>0</v>
      </c>
      <c r="L1940" s="4"/>
      <c r="M1940" s="4"/>
      <c r="N1940" s="11">
        <v>374.2</v>
      </c>
      <c r="O1940" s="4" t="s">
        <v>56</v>
      </c>
      <c r="P1940" s="4" t="s">
        <v>57</v>
      </c>
      <c r="Q1940" s="11">
        <v>0</v>
      </c>
      <c r="R1940" s="4"/>
      <c r="S1940" s="12"/>
    </row>
    <row r="1941" spans="1:19" x14ac:dyDescent="0.25">
      <c r="A1941" s="9" t="s">
        <v>1117</v>
      </c>
      <c r="B1941" s="9" t="s">
        <v>291</v>
      </c>
      <c r="C1941" s="4">
        <v>201002943</v>
      </c>
      <c r="D1941" s="4" t="s">
        <v>1472</v>
      </c>
      <c r="E1941" s="4" t="str">
        <f>"058712010"</f>
        <v>058712010</v>
      </c>
      <c r="F1941" s="10">
        <v>40284</v>
      </c>
      <c r="G1941" s="11">
        <v>350</v>
      </c>
      <c r="H1941" s="11">
        <v>0</v>
      </c>
      <c r="I1941" s="4"/>
      <c r="J1941" s="4"/>
      <c r="K1941" s="11">
        <v>0</v>
      </c>
      <c r="L1941" s="4"/>
      <c r="M1941" s="4"/>
      <c r="N1941" s="11">
        <v>350</v>
      </c>
      <c r="O1941" s="4" t="s">
        <v>56</v>
      </c>
      <c r="P1941" s="4" t="s">
        <v>57</v>
      </c>
      <c r="Q1941" s="11">
        <v>0</v>
      </c>
      <c r="R1941" s="4"/>
      <c r="S1941" s="12"/>
    </row>
    <row r="1942" spans="1:19" x14ac:dyDescent="0.25">
      <c r="A1942" s="9" t="s">
        <v>1117</v>
      </c>
      <c r="B1942" s="9" t="s">
        <v>291</v>
      </c>
      <c r="C1942" s="4">
        <v>201002975</v>
      </c>
      <c r="D1942" s="4" t="s">
        <v>1473</v>
      </c>
      <c r="E1942" s="4" t="str">
        <f>"062742010"</f>
        <v>062742010</v>
      </c>
      <c r="F1942" s="10">
        <v>40296</v>
      </c>
      <c r="G1942" s="11">
        <v>350</v>
      </c>
      <c r="H1942" s="11">
        <v>0</v>
      </c>
      <c r="I1942" s="4"/>
      <c r="J1942" s="4"/>
      <c r="K1942" s="11">
        <v>0</v>
      </c>
      <c r="L1942" s="4"/>
      <c r="M1942" s="4"/>
      <c r="N1942" s="11">
        <v>350</v>
      </c>
      <c r="O1942" s="4" t="s">
        <v>56</v>
      </c>
      <c r="P1942" s="4" t="s">
        <v>57</v>
      </c>
      <c r="Q1942" s="11">
        <v>0</v>
      </c>
      <c r="R1942" s="4"/>
      <c r="S1942" s="12"/>
    </row>
    <row r="1943" spans="1:19" x14ac:dyDescent="0.25">
      <c r="A1943" s="9" t="s">
        <v>1117</v>
      </c>
      <c r="B1943" s="9" t="s">
        <v>291</v>
      </c>
      <c r="C1943" s="4">
        <v>201002976</v>
      </c>
      <c r="D1943" s="4" t="s">
        <v>1126</v>
      </c>
      <c r="E1943" s="4" t="str">
        <f>"060582010"</f>
        <v>060582010</v>
      </c>
      <c r="F1943" s="10">
        <v>40290</v>
      </c>
      <c r="G1943" s="11">
        <v>350</v>
      </c>
      <c r="H1943" s="11">
        <v>0</v>
      </c>
      <c r="I1943" s="4"/>
      <c r="J1943" s="4"/>
      <c r="K1943" s="11">
        <v>0</v>
      </c>
      <c r="L1943" s="4"/>
      <c r="M1943" s="4"/>
      <c r="N1943" s="11">
        <v>350</v>
      </c>
      <c r="O1943" s="4" t="s">
        <v>56</v>
      </c>
      <c r="P1943" s="4" t="s">
        <v>57</v>
      </c>
      <c r="Q1943" s="11">
        <v>0</v>
      </c>
      <c r="R1943" s="4"/>
      <c r="S1943" s="12"/>
    </row>
    <row r="1944" spans="1:19" x14ac:dyDescent="0.25">
      <c r="A1944" s="9" t="s">
        <v>1117</v>
      </c>
      <c r="B1944" s="9" t="s">
        <v>291</v>
      </c>
      <c r="C1944" s="4">
        <v>201002979</v>
      </c>
      <c r="D1944" s="4" t="s">
        <v>1474</v>
      </c>
      <c r="E1944" s="4" t="str">
        <f>"062722010"</f>
        <v>062722010</v>
      </c>
      <c r="F1944" s="10">
        <v>40296</v>
      </c>
      <c r="G1944" s="11">
        <v>350</v>
      </c>
      <c r="H1944" s="11">
        <v>0</v>
      </c>
      <c r="I1944" s="4"/>
      <c r="J1944" s="4"/>
      <c r="K1944" s="11">
        <v>0</v>
      </c>
      <c r="L1944" s="4"/>
      <c r="M1944" s="4"/>
      <c r="N1944" s="11">
        <v>350</v>
      </c>
      <c r="O1944" s="4" t="s">
        <v>56</v>
      </c>
      <c r="P1944" s="4" t="s">
        <v>57</v>
      </c>
      <c r="Q1944" s="11">
        <v>0</v>
      </c>
      <c r="R1944" s="4"/>
      <c r="S1944" s="12"/>
    </row>
    <row r="1945" spans="1:19" x14ac:dyDescent="0.25">
      <c r="A1945" s="9" t="s">
        <v>1117</v>
      </c>
      <c r="B1945" s="9" t="s">
        <v>291</v>
      </c>
      <c r="C1945" s="4">
        <v>201002982</v>
      </c>
      <c r="D1945" s="4" t="s">
        <v>1155</v>
      </c>
      <c r="E1945" s="4" t="str">
        <f>"058612010"</f>
        <v>058612010</v>
      </c>
      <c r="F1945" s="10">
        <v>40284</v>
      </c>
      <c r="G1945" s="11">
        <v>350</v>
      </c>
      <c r="H1945" s="11">
        <v>0</v>
      </c>
      <c r="I1945" s="4"/>
      <c r="J1945" s="4"/>
      <c r="K1945" s="11">
        <v>0</v>
      </c>
      <c r="L1945" s="4"/>
      <c r="M1945" s="4"/>
      <c r="N1945" s="11">
        <v>350</v>
      </c>
      <c r="O1945" s="4" t="s">
        <v>56</v>
      </c>
      <c r="P1945" s="4" t="s">
        <v>57</v>
      </c>
      <c r="Q1945" s="11">
        <v>0</v>
      </c>
      <c r="R1945" s="4"/>
      <c r="S1945" s="12"/>
    </row>
    <row r="1946" spans="1:19" x14ac:dyDescent="0.25">
      <c r="A1946" s="9" t="s">
        <v>1117</v>
      </c>
      <c r="B1946" s="9" t="s">
        <v>291</v>
      </c>
      <c r="C1946" s="4">
        <v>201002984</v>
      </c>
      <c r="D1946" s="4" t="s">
        <v>1475</v>
      </c>
      <c r="E1946" s="4" t="str">
        <f>"058972010"</f>
        <v>058972010</v>
      </c>
      <c r="F1946" s="10">
        <v>40284</v>
      </c>
      <c r="G1946" s="11">
        <v>350</v>
      </c>
      <c r="H1946" s="11">
        <v>0</v>
      </c>
      <c r="I1946" s="4"/>
      <c r="J1946" s="4"/>
      <c r="K1946" s="11">
        <v>0</v>
      </c>
      <c r="L1946" s="4"/>
      <c r="M1946" s="4"/>
      <c r="N1946" s="11">
        <v>350</v>
      </c>
      <c r="O1946" s="4" t="s">
        <v>56</v>
      </c>
      <c r="P1946" s="4" t="s">
        <v>57</v>
      </c>
      <c r="Q1946" s="11">
        <v>0</v>
      </c>
      <c r="R1946" s="4"/>
      <c r="S1946" s="12"/>
    </row>
    <row r="1947" spans="1:19" x14ac:dyDescent="0.25">
      <c r="A1947" s="9" t="s">
        <v>1117</v>
      </c>
      <c r="B1947" s="9" t="s">
        <v>291</v>
      </c>
      <c r="C1947" s="4">
        <v>201002987</v>
      </c>
      <c r="D1947" s="4" t="s">
        <v>1476</v>
      </c>
      <c r="E1947" s="4" t="str">
        <f>"060462010"</f>
        <v>060462010</v>
      </c>
      <c r="F1947" s="10">
        <v>40290</v>
      </c>
      <c r="G1947" s="11">
        <v>350</v>
      </c>
      <c r="H1947" s="11">
        <v>0</v>
      </c>
      <c r="I1947" s="4"/>
      <c r="J1947" s="4"/>
      <c r="K1947" s="11">
        <v>0</v>
      </c>
      <c r="L1947" s="4"/>
      <c r="M1947" s="4"/>
      <c r="N1947" s="11">
        <v>350</v>
      </c>
      <c r="O1947" s="4" t="s">
        <v>56</v>
      </c>
      <c r="P1947" s="4" t="s">
        <v>57</v>
      </c>
      <c r="Q1947" s="11">
        <v>0</v>
      </c>
      <c r="R1947" s="4"/>
      <c r="S1947" s="12"/>
    </row>
    <row r="1948" spans="1:19" x14ac:dyDescent="0.25">
      <c r="A1948" s="9" t="s">
        <v>1117</v>
      </c>
      <c r="B1948" s="9" t="s">
        <v>291</v>
      </c>
      <c r="C1948" s="4">
        <v>201002991</v>
      </c>
      <c r="D1948" s="4" t="s">
        <v>1477</v>
      </c>
      <c r="E1948" s="4" t="str">
        <f>"059332010"</f>
        <v>059332010</v>
      </c>
      <c r="F1948" s="10">
        <v>40284</v>
      </c>
      <c r="G1948" s="11">
        <v>350</v>
      </c>
      <c r="H1948" s="11">
        <v>0</v>
      </c>
      <c r="I1948" s="4"/>
      <c r="J1948" s="4"/>
      <c r="K1948" s="11">
        <v>0</v>
      </c>
      <c r="L1948" s="4"/>
      <c r="M1948" s="4"/>
      <c r="N1948" s="11">
        <v>350</v>
      </c>
      <c r="O1948" s="4" t="s">
        <v>56</v>
      </c>
      <c r="P1948" s="4" t="s">
        <v>57</v>
      </c>
      <c r="Q1948" s="11">
        <v>0</v>
      </c>
      <c r="R1948" s="4"/>
      <c r="S1948" s="12"/>
    </row>
    <row r="1949" spans="1:19" x14ac:dyDescent="0.25">
      <c r="A1949" s="9" t="s">
        <v>1117</v>
      </c>
      <c r="B1949" s="9" t="s">
        <v>291</v>
      </c>
      <c r="C1949" s="4">
        <v>201002995</v>
      </c>
      <c r="D1949" s="4" t="s">
        <v>1455</v>
      </c>
      <c r="E1949" s="4" t="str">
        <f>"059452010"</f>
        <v>059452010</v>
      </c>
      <c r="F1949" s="10">
        <v>40287</v>
      </c>
      <c r="G1949" s="11">
        <v>350</v>
      </c>
      <c r="H1949" s="11">
        <v>0</v>
      </c>
      <c r="I1949" s="4"/>
      <c r="J1949" s="4"/>
      <c r="K1949" s="11">
        <v>0</v>
      </c>
      <c r="L1949" s="4"/>
      <c r="M1949" s="4"/>
      <c r="N1949" s="11">
        <v>350</v>
      </c>
      <c r="O1949" s="4" t="s">
        <v>56</v>
      </c>
      <c r="P1949" s="4" t="s">
        <v>57</v>
      </c>
      <c r="Q1949" s="11">
        <v>0</v>
      </c>
      <c r="R1949" s="4"/>
      <c r="S1949" s="12"/>
    </row>
    <row r="1950" spans="1:19" x14ac:dyDescent="0.25">
      <c r="A1950" s="9" t="s">
        <v>1117</v>
      </c>
      <c r="B1950" s="9" t="s">
        <v>291</v>
      </c>
      <c r="C1950" s="4">
        <v>201002997</v>
      </c>
      <c r="D1950" s="4" t="s">
        <v>1348</v>
      </c>
      <c r="E1950" s="4" t="str">
        <f>"059132010"</f>
        <v>059132010</v>
      </c>
      <c r="F1950" s="10">
        <v>40284</v>
      </c>
      <c r="G1950" s="11">
        <v>250</v>
      </c>
      <c r="H1950" s="11">
        <v>0</v>
      </c>
      <c r="I1950" s="4"/>
      <c r="J1950" s="4"/>
      <c r="K1950" s="11">
        <v>0</v>
      </c>
      <c r="L1950" s="4"/>
      <c r="M1950" s="4"/>
      <c r="N1950" s="11">
        <v>250</v>
      </c>
      <c r="O1950" s="4" t="s">
        <v>56</v>
      </c>
      <c r="P1950" s="4" t="s">
        <v>57</v>
      </c>
      <c r="Q1950" s="11">
        <v>0</v>
      </c>
      <c r="R1950" s="4"/>
      <c r="S1950" s="12"/>
    </row>
    <row r="1951" spans="1:19" x14ac:dyDescent="0.25">
      <c r="A1951" s="9" t="s">
        <v>1117</v>
      </c>
      <c r="B1951" s="9" t="s">
        <v>291</v>
      </c>
      <c r="C1951" s="4">
        <v>201002998</v>
      </c>
      <c r="D1951" s="4" t="s">
        <v>1478</v>
      </c>
      <c r="E1951" s="4" t="str">
        <f>"059232010"</f>
        <v>059232010</v>
      </c>
      <c r="F1951" s="10">
        <v>40284</v>
      </c>
      <c r="G1951" s="11">
        <v>7</v>
      </c>
      <c r="H1951" s="11">
        <v>0</v>
      </c>
      <c r="I1951" s="4"/>
      <c r="J1951" s="4"/>
      <c r="K1951" s="11">
        <v>0</v>
      </c>
      <c r="L1951" s="4"/>
      <c r="M1951" s="4"/>
      <c r="N1951" s="11">
        <v>7</v>
      </c>
      <c r="O1951" s="4" t="s">
        <v>56</v>
      </c>
      <c r="P1951" s="4" t="s">
        <v>57</v>
      </c>
      <c r="Q1951" s="11">
        <v>0</v>
      </c>
      <c r="R1951" s="4"/>
      <c r="S1951" s="12"/>
    </row>
    <row r="1952" spans="1:19" x14ac:dyDescent="0.25">
      <c r="A1952" s="9" t="s">
        <v>1117</v>
      </c>
      <c r="B1952" s="9" t="s">
        <v>291</v>
      </c>
      <c r="C1952" s="4">
        <v>201002999</v>
      </c>
      <c r="D1952" s="4" t="s">
        <v>355</v>
      </c>
      <c r="E1952" s="4" t="str">
        <f>"059152010"</f>
        <v>059152010</v>
      </c>
      <c r="F1952" s="10">
        <v>40284</v>
      </c>
      <c r="G1952" s="11">
        <v>350</v>
      </c>
      <c r="H1952" s="11">
        <v>0</v>
      </c>
      <c r="I1952" s="4"/>
      <c r="J1952" s="4"/>
      <c r="K1952" s="11">
        <v>0</v>
      </c>
      <c r="L1952" s="4"/>
      <c r="M1952" s="4"/>
      <c r="N1952" s="11">
        <v>350</v>
      </c>
      <c r="O1952" s="4" t="s">
        <v>56</v>
      </c>
      <c r="P1952" s="4" t="s">
        <v>57</v>
      </c>
      <c r="Q1952" s="11">
        <v>0</v>
      </c>
      <c r="R1952" s="4"/>
      <c r="S1952" s="12"/>
    </row>
    <row r="1953" spans="1:19" x14ac:dyDescent="0.25">
      <c r="A1953" s="9" t="s">
        <v>1117</v>
      </c>
      <c r="B1953" s="9" t="s">
        <v>291</v>
      </c>
      <c r="C1953" s="4">
        <v>201003045</v>
      </c>
      <c r="D1953" s="4" t="s">
        <v>1479</v>
      </c>
      <c r="E1953" s="4" t="str">
        <f>"060202010"</f>
        <v>060202010</v>
      </c>
      <c r="F1953" s="10">
        <v>40289</v>
      </c>
      <c r="G1953" s="11">
        <v>366.13</v>
      </c>
      <c r="H1953" s="11">
        <v>0</v>
      </c>
      <c r="I1953" s="4"/>
      <c r="J1953" s="4"/>
      <c r="K1953" s="11">
        <v>0</v>
      </c>
      <c r="L1953" s="4"/>
      <c r="M1953" s="4"/>
      <c r="N1953" s="11">
        <v>366.13</v>
      </c>
      <c r="O1953" s="4" t="s">
        <v>56</v>
      </c>
      <c r="P1953" s="4" t="s">
        <v>57</v>
      </c>
      <c r="Q1953" s="11">
        <v>0</v>
      </c>
      <c r="R1953" s="4"/>
      <c r="S1953" s="12"/>
    </row>
    <row r="1954" spans="1:19" x14ac:dyDescent="0.25">
      <c r="A1954" s="9" t="s">
        <v>1117</v>
      </c>
      <c r="B1954" s="9" t="s">
        <v>291</v>
      </c>
      <c r="C1954" s="4">
        <v>201003052</v>
      </c>
      <c r="D1954" s="4" t="s">
        <v>1340</v>
      </c>
      <c r="E1954" s="4" t="str">
        <f>"060942010"</f>
        <v>060942010</v>
      </c>
      <c r="F1954" s="10">
        <v>40291</v>
      </c>
      <c r="G1954" s="11">
        <v>369.81</v>
      </c>
      <c r="H1954" s="11">
        <v>0</v>
      </c>
      <c r="I1954" s="4"/>
      <c r="J1954" s="4"/>
      <c r="K1954" s="11">
        <v>0</v>
      </c>
      <c r="L1954" s="4"/>
      <c r="M1954" s="4"/>
      <c r="N1954" s="11">
        <v>369.81</v>
      </c>
      <c r="O1954" s="4" t="s">
        <v>56</v>
      </c>
      <c r="P1954" s="4" t="s">
        <v>57</v>
      </c>
      <c r="Q1954" s="11">
        <v>0</v>
      </c>
      <c r="R1954" s="4"/>
      <c r="S1954" s="12"/>
    </row>
    <row r="1955" spans="1:19" x14ac:dyDescent="0.25">
      <c r="A1955" s="9" t="s">
        <v>1117</v>
      </c>
      <c r="B1955" s="9" t="s">
        <v>291</v>
      </c>
      <c r="C1955" s="4">
        <v>201003055</v>
      </c>
      <c r="D1955" s="4" t="s">
        <v>1480</v>
      </c>
      <c r="E1955" s="4" t="str">
        <f>"061102010"</f>
        <v>061102010</v>
      </c>
      <c r="F1955" s="10">
        <v>40291</v>
      </c>
      <c r="G1955" s="11">
        <v>58.4</v>
      </c>
      <c r="H1955" s="11">
        <v>0</v>
      </c>
      <c r="I1955" s="4"/>
      <c r="J1955" s="4"/>
      <c r="K1955" s="11">
        <v>0</v>
      </c>
      <c r="L1955" s="4"/>
      <c r="M1955" s="4"/>
      <c r="N1955" s="11">
        <v>58.4</v>
      </c>
      <c r="O1955" s="4" t="s">
        <v>56</v>
      </c>
      <c r="P1955" s="4" t="s">
        <v>57</v>
      </c>
      <c r="Q1955" s="11">
        <v>0</v>
      </c>
      <c r="R1955" s="4"/>
      <c r="S1955" s="12"/>
    </row>
    <row r="1956" spans="1:19" x14ac:dyDescent="0.25">
      <c r="A1956" s="9" t="s">
        <v>1117</v>
      </c>
      <c r="B1956" s="9" t="s">
        <v>291</v>
      </c>
      <c r="C1956" s="4">
        <v>201003056</v>
      </c>
      <c r="D1956" s="4" t="s">
        <v>1481</v>
      </c>
      <c r="E1956" s="4" t="str">
        <f>"091902010"</f>
        <v>091902010</v>
      </c>
      <c r="F1956" s="10">
        <v>40372</v>
      </c>
      <c r="G1956" s="11">
        <v>350</v>
      </c>
      <c r="H1956" s="11">
        <v>0</v>
      </c>
      <c r="I1956" s="4"/>
      <c r="J1956" s="4"/>
      <c r="K1956" s="11">
        <v>0</v>
      </c>
      <c r="L1956" s="4"/>
      <c r="M1956" s="4"/>
      <c r="N1956" s="11">
        <v>350</v>
      </c>
      <c r="O1956" s="4" t="s">
        <v>56</v>
      </c>
      <c r="P1956" s="4" t="s">
        <v>57</v>
      </c>
      <c r="Q1956" s="11">
        <v>0</v>
      </c>
      <c r="R1956" s="4"/>
      <c r="S1956" s="12"/>
    </row>
    <row r="1957" spans="1:19" x14ac:dyDescent="0.25">
      <c r="A1957" s="9" t="s">
        <v>1117</v>
      </c>
      <c r="B1957" s="9" t="s">
        <v>291</v>
      </c>
      <c r="C1957" s="4">
        <v>201003060</v>
      </c>
      <c r="D1957" s="4" t="s">
        <v>1182</v>
      </c>
      <c r="E1957" s="4" t="str">
        <f>"061002010"</f>
        <v>061002010</v>
      </c>
      <c r="F1957" s="10">
        <v>40291</v>
      </c>
      <c r="G1957" s="11">
        <v>350</v>
      </c>
      <c r="H1957" s="11">
        <v>0</v>
      </c>
      <c r="I1957" s="4"/>
      <c r="J1957" s="4"/>
      <c r="K1957" s="11">
        <v>0</v>
      </c>
      <c r="L1957" s="4"/>
      <c r="M1957" s="4"/>
      <c r="N1957" s="11">
        <v>350</v>
      </c>
      <c r="O1957" s="4" t="s">
        <v>56</v>
      </c>
      <c r="P1957" s="4" t="s">
        <v>57</v>
      </c>
      <c r="Q1957" s="11">
        <v>0</v>
      </c>
      <c r="R1957" s="4"/>
      <c r="S1957" s="12"/>
    </row>
    <row r="1958" spans="1:19" x14ac:dyDescent="0.25">
      <c r="A1958" s="9" t="s">
        <v>1117</v>
      </c>
      <c r="B1958" s="9" t="s">
        <v>291</v>
      </c>
      <c r="C1958" s="4">
        <v>201003061</v>
      </c>
      <c r="D1958" s="4" t="s">
        <v>1482</v>
      </c>
      <c r="E1958" s="4" t="str">
        <f>"061042010"</f>
        <v>061042010</v>
      </c>
      <c r="F1958" s="10">
        <v>40291</v>
      </c>
      <c r="G1958" s="11">
        <v>350</v>
      </c>
      <c r="H1958" s="11">
        <v>0</v>
      </c>
      <c r="I1958" s="4"/>
      <c r="J1958" s="4"/>
      <c r="K1958" s="11">
        <v>0</v>
      </c>
      <c r="L1958" s="4"/>
      <c r="M1958" s="4"/>
      <c r="N1958" s="11">
        <v>350</v>
      </c>
      <c r="O1958" s="4" t="s">
        <v>56</v>
      </c>
      <c r="P1958" s="4" t="s">
        <v>57</v>
      </c>
      <c r="Q1958" s="11">
        <v>0</v>
      </c>
      <c r="R1958" s="4"/>
      <c r="S1958" s="12"/>
    </row>
    <row r="1959" spans="1:19" x14ac:dyDescent="0.25">
      <c r="A1959" s="9" t="s">
        <v>1117</v>
      </c>
      <c r="B1959" s="9" t="s">
        <v>291</v>
      </c>
      <c r="C1959" s="4">
        <v>201003064</v>
      </c>
      <c r="D1959" s="4" t="s">
        <v>1483</v>
      </c>
      <c r="E1959" s="4" t="str">
        <f>"061082010"</f>
        <v>061082010</v>
      </c>
      <c r="F1959" s="10">
        <v>40291</v>
      </c>
      <c r="G1959" s="11">
        <v>350</v>
      </c>
      <c r="H1959" s="11">
        <v>0</v>
      </c>
      <c r="I1959" s="4"/>
      <c r="J1959" s="4"/>
      <c r="K1959" s="11">
        <v>0</v>
      </c>
      <c r="L1959" s="4"/>
      <c r="M1959" s="4"/>
      <c r="N1959" s="11">
        <v>350</v>
      </c>
      <c r="O1959" s="4" t="s">
        <v>56</v>
      </c>
      <c r="P1959" s="4" t="s">
        <v>57</v>
      </c>
      <c r="Q1959" s="11">
        <v>0</v>
      </c>
      <c r="R1959" s="4"/>
      <c r="S1959" s="12"/>
    </row>
    <row r="1960" spans="1:19" x14ac:dyDescent="0.25">
      <c r="A1960" s="9" t="s">
        <v>1117</v>
      </c>
      <c r="B1960" s="9" t="s">
        <v>291</v>
      </c>
      <c r="C1960" s="4">
        <v>201003065</v>
      </c>
      <c r="D1960" s="4"/>
      <c r="E1960" s="4" t="str">
        <f>"062782010"</f>
        <v>062782010</v>
      </c>
      <c r="F1960" s="10">
        <v>40296</v>
      </c>
      <c r="G1960" s="11">
        <v>350</v>
      </c>
      <c r="H1960" s="11">
        <v>0</v>
      </c>
      <c r="I1960" s="4"/>
      <c r="J1960" s="4"/>
      <c r="K1960" s="11">
        <v>0</v>
      </c>
      <c r="L1960" s="4"/>
      <c r="M1960" s="4"/>
      <c r="N1960" s="11">
        <v>350</v>
      </c>
      <c r="O1960" s="4" t="s">
        <v>56</v>
      </c>
      <c r="P1960" s="4" t="s">
        <v>57</v>
      </c>
      <c r="Q1960" s="11">
        <v>0</v>
      </c>
      <c r="R1960" s="4"/>
      <c r="S1960" s="12"/>
    </row>
    <row r="1961" spans="1:19" x14ac:dyDescent="0.25">
      <c r="A1961" s="9" t="s">
        <v>1117</v>
      </c>
      <c r="B1961" s="9" t="s">
        <v>291</v>
      </c>
      <c r="C1961" s="4">
        <v>201003070</v>
      </c>
      <c r="D1961" s="4" t="s">
        <v>1181</v>
      </c>
      <c r="E1961" s="4" t="str">
        <f>"061222010"</f>
        <v>061222010</v>
      </c>
      <c r="F1961" s="10">
        <v>40291</v>
      </c>
      <c r="G1961" s="11">
        <v>15.75</v>
      </c>
      <c r="H1961" s="11">
        <v>0</v>
      </c>
      <c r="I1961" s="4"/>
      <c r="J1961" s="4"/>
      <c r="K1961" s="11">
        <v>0</v>
      </c>
      <c r="L1961" s="4"/>
      <c r="M1961" s="4"/>
      <c r="N1961" s="11">
        <v>15.75</v>
      </c>
      <c r="O1961" s="4" t="s">
        <v>56</v>
      </c>
      <c r="P1961" s="4" t="s">
        <v>57</v>
      </c>
      <c r="Q1961" s="11">
        <v>0</v>
      </c>
      <c r="R1961" s="4"/>
      <c r="S1961" s="12"/>
    </row>
    <row r="1962" spans="1:19" x14ac:dyDescent="0.25">
      <c r="A1962" s="9" t="s">
        <v>1117</v>
      </c>
      <c r="B1962" s="9" t="s">
        <v>291</v>
      </c>
      <c r="C1962" s="4">
        <v>201003072</v>
      </c>
      <c r="D1962" s="4" t="s">
        <v>1192</v>
      </c>
      <c r="E1962" s="4" t="str">
        <f>"062262010"</f>
        <v>062262010</v>
      </c>
      <c r="F1962" s="10">
        <v>40296</v>
      </c>
      <c r="G1962" s="11">
        <v>379.79</v>
      </c>
      <c r="H1962" s="11">
        <v>0</v>
      </c>
      <c r="I1962" s="4"/>
      <c r="J1962" s="4"/>
      <c r="K1962" s="11">
        <v>0</v>
      </c>
      <c r="L1962" s="4"/>
      <c r="M1962" s="4"/>
      <c r="N1962" s="11">
        <v>379.79</v>
      </c>
      <c r="O1962" s="4" t="s">
        <v>56</v>
      </c>
      <c r="P1962" s="4" t="s">
        <v>57</v>
      </c>
      <c r="Q1962" s="11">
        <v>0</v>
      </c>
      <c r="R1962" s="4"/>
      <c r="S1962" s="12"/>
    </row>
    <row r="1963" spans="1:19" x14ac:dyDescent="0.25">
      <c r="A1963" s="9" t="s">
        <v>1117</v>
      </c>
      <c r="B1963" s="9" t="s">
        <v>291</v>
      </c>
      <c r="C1963" s="4">
        <v>201003074</v>
      </c>
      <c r="D1963" s="4" t="s">
        <v>1484</v>
      </c>
      <c r="E1963" s="4" t="str">
        <f>"061282010"</f>
        <v>061282010</v>
      </c>
      <c r="F1963" s="10">
        <v>40291</v>
      </c>
      <c r="G1963" s="11">
        <v>350</v>
      </c>
      <c r="H1963" s="11">
        <v>0</v>
      </c>
      <c r="I1963" s="4"/>
      <c r="J1963" s="4"/>
      <c r="K1963" s="11">
        <v>0</v>
      </c>
      <c r="L1963" s="4"/>
      <c r="M1963" s="4"/>
      <c r="N1963" s="11">
        <v>350</v>
      </c>
      <c r="O1963" s="4" t="s">
        <v>56</v>
      </c>
      <c r="P1963" s="4" t="s">
        <v>57</v>
      </c>
      <c r="Q1963" s="11">
        <v>0</v>
      </c>
      <c r="R1963" s="4"/>
      <c r="S1963" s="12"/>
    </row>
    <row r="1964" spans="1:19" x14ac:dyDescent="0.25">
      <c r="A1964" s="9" t="s">
        <v>1117</v>
      </c>
      <c r="B1964" s="9" t="s">
        <v>291</v>
      </c>
      <c r="C1964" s="4">
        <v>201003075</v>
      </c>
      <c r="D1964" s="4" t="s">
        <v>1485</v>
      </c>
      <c r="E1964" s="4" t="str">
        <f>"061322010"</f>
        <v>061322010</v>
      </c>
      <c r="F1964" s="10">
        <v>40291</v>
      </c>
      <c r="G1964" s="11">
        <v>350</v>
      </c>
      <c r="H1964" s="11">
        <v>0</v>
      </c>
      <c r="I1964" s="4"/>
      <c r="J1964" s="4"/>
      <c r="K1964" s="11">
        <v>0</v>
      </c>
      <c r="L1964" s="4"/>
      <c r="M1964" s="4"/>
      <c r="N1964" s="11">
        <v>350</v>
      </c>
      <c r="O1964" s="4" t="s">
        <v>56</v>
      </c>
      <c r="P1964" s="4" t="s">
        <v>57</v>
      </c>
      <c r="Q1964" s="11">
        <v>0</v>
      </c>
      <c r="R1964" s="4"/>
      <c r="S1964" s="12"/>
    </row>
    <row r="1965" spans="1:19" x14ac:dyDescent="0.25">
      <c r="A1965" s="9" t="s">
        <v>1117</v>
      </c>
      <c r="B1965" s="9" t="s">
        <v>291</v>
      </c>
      <c r="C1965" s="4">
        <v>201003077</v>
      </c>
      <c r="D1965" s="4" t="s">
        <v>1486</v>
      </c>
      <c r="E1965" s="4" t="str">
        <f>"061342010"</f>
        <v>061342010</v>
      </c>
      <c r="F1965" s="10">
        <v>40291</v>
      </c>
      <c r="G1965" s="11">
        <v>350</v>
      </c>
      <c r="H1965" s="11">
        <v>0</v>
      </c>
      <c r="I1965" s="4"/>
      <c r="J1965" s="4"/>
      <c r="K1965" s="11">
        <v>0</v>
      </c>
      <c r="L1965" s="4"/>
      <c r="M1965" s="4"/>
      <c r="N1965" s="11">
        <v>350</v>
      </c>
      <c r="O1965" s="4" t="s">
        <v>56</v>
      </c>
      <c r="P1965" s="4" t="s">
        <v>57</v>
      </c>
      <c r="Q1965" s="11">
        <v>0</v>
      </c>
      <c r="R1965" s="4"/>
      <c r="S1965" s="12"/>
    </row>
    <row r="1966" spans="1:19" x14ac:dyDescent="0.25">
      <c r="A1966" s="9" t="s">
        <v>1117</v>
      </c>
      <c r="B1966" s="9" t="s">
        <v>291</v>
      </c>
      <c r="C1966" s="4">
        <v>201003078</v>
      </c>
      <c r="D1966" s="4" t="s">
        <v>1487</v>
      </c>
      <c r="E1966" s="4" t="str">
        <f>"061382010"</f>
        <v>061382010</v>
      </c>
      <c r="F1966" s="10">
        <v>40291</v>
      </c>
      <c r="G1966" s="11">
        <v>350</v>
      </c>
      <c r="H1966" s="11">
        <v>0</v>
      </c>
      <c r="I1966" s="4"/>
      <c r="J1966" s="4"/>
      <c r="K1966" s="11">
        <v>0</v>
      </c>
      <c r="L1966" s="4"/>
      <c r="M1966" s="4"/>
      <c r="N1966" s="11">
        <v>350</v>
      </c>
      <c r="O1966" s="4" t="s">
        <v>56</v>
      </c>
      <c r="P1966" s="4" t="s">
        <v>57</v>
      </c>
      <c r="Q1966" s="11">
        <v>0</v>
      </c>
      <c r="R1966" s="4"/>
      <c r="S1966" s="12"/>
    </row>
    <row r="1967" spans="1:19" x14ac:dyDescent="0.25">
      <c r="A1967" s="9" t="s">
        <v>1117</v>
      </c>
      <c r="B1967" s="9" t="s">
        <v>291</v>
      </c>
      <c r="C1967" s="4">
        <v>201003093</v>
      </c>
      <c r="D1967" s="4" t="s">
        <v>1181</v>
      </c>
      <c r="E1967" s="4" t="str">
        <f>"062362010"</f>
        <v>062362010</v>
      </c>
      <c r="F1967" s="10">
        <v>40296</v>
      </c>
      <c r="G1967" s="11">
        <v>369.25</v>
      </c>
      <c r="H1967" s="11">
        <v>0</v>
      </c>
      <c r="I1967" s="4"/>
      <c r="J1967" s="4"/>
      <c r="K1967" s="11">
        <v>0</v>
      </c>
      <c r="L1967" s="4"/>
      <c r="M1967" s="4"/>
      <c r="N1967" s="11">
        <v>369.25</v>
      </c>
      <c r="O1967" s="4" t="s">
        <v>56</v>
      </c>
      <c r="P1967" s="4" t="s">
        <v>57</v>
      </c>
      <c r="Q1967" s="11">
        <v>0</v>
      </c>
      <c r="R1967" s="4"/>
      <c r="S1967" s="12"/>
    </row>
    <row r="1968" spans="1:19" x14ac:dyDescent="0.25">
      <c r="A1968" s="9" t="s">
        <v>1117</v>
      </c>
      <c r="B1968" s="9" t="s">
        <v>291</v>
      </c>
      <c r="C1968" s="4">
        <v>201003100</v>
      </c>
      <c r="D1968" s="4"/>
      <c r="E1968" s="4" t="str">
        <f>"061662010"</f>
        <v>061662010</v>
      </c>
      <c r="F1968" s="10">
        <v>40291</v>
      </c>
      <c r="G1968" s="11">
        <v>350</v>
      </c>
      <c r="H1968" s="11">
        <v>0</v>
      </c>
      <c r="I1968" s="4"/>
      <c r="J1968" s="4"/>
      <c r="K1968" s="11">
        <v>0</v>
      </c>
      <c r="L1968" s="4"/>
      <c r="M1968" s="4"/>
      <c r="N1968" s="11">
        <v>350</v>
      </c>
      <c r="O1968" s="4" t="s">
        <v>56</v>
      </c>
      <c r="P1968" s="4" t="s">
        <v>57</v>
      </c>
      <c r="Q1968" s="11">
        <v>0</v>
      </c>
      <c r="R1968" s="4"/>
      <c r="S1968" s="12"/>
    </row>
    <row r="1969" spans="1:19" x14ac:dyDescent="0.25">
      <c r="A1969" s="9" t="s">
        <v>1117</v>
      </c>
      <c r="B1969" s="9" t="s">
        <v>291</v>
      </c>
      <c r="C1969" s="4">
        <v>201003104</v>
      </c>
      <c r="D1969" s="4" t="s">
        <v>1181</v>
      </c>
      <c r="E1969" s="4" t="str">
        <f>"062322010"</f>
        <v>062322010</v>
      </c>
      <c r="F1969" s="10">
        <v>40296</v>
      </c>
      <c r="G1969" s="11">
        <v>19.75</v>
      </c>
      <c r="H1969" s="11">
        <v>0</v>
      </c>
      <c r="I1969" s="4"/>
      <c r="J1969" s="4"/>
      <c r="K1969" s="11">
        <v>0</v>
      </c>
      <c r="L1969" s="4"/>
      <c r="M1969" s="4"/>
      <c r="N1969" s="11">
        <v>19.75</v>
      </c>
      <c r="O1969" s="4" t="s">
        <v>56</v>
      </c>
      <c r="P1969" s="4" t="s">
        <v>57</v>
      </c>
      <c r="Q1969" s="11">
        <v>0</v>
      </c>
      <c r="R1969" s="4"/>
      <c r="S1969" s="12"/>
    </row>
    <row r="1970" spans="1:19" x14ac:dyDescent="0.25">
      <c r="A1970" s="9" t="s">
        <v>1117</v>
      </c>
      <c r="B1970" s="9" t="s">
        <v>291</v>
      </c>
      <c r="C1970" s="4">
        <v>201003107</v>
      </c>
      <c r="D1970" s="4" t="s">
        <v>1488</v>
      </c>
      <c r="E1970" s="4" t="str">
        <f>"063302010"</f>
        <v>063302010</v>
      </c>
      <c r="F1970" s="10">
        <v>40297</v>
      </c>
      <c r="G1970" s="11">
        <v>72.099999999999994</v>
      </c>
      <c r="H1970" s="11">
        <v>0</v>
      </c>
      <c r="I1970" s="4"/>
      <c r="J1970" s="4"/>
      <c r="K1970" s="11">
        <v>0</v>
      </c>
      <c r="L1970" s="4"/>
      <c r="M1970" s="4"/>
      <c r="N1970" s="11">
        <v>72.099999999999994</v>
      </c>
      <c r="O1970" s="4" t="s">
        <v>56</v>
      </c>
      <c r="P1970" s="4" t="s">
        <v>57</v>
      </c>
      <c r="Q1970" s="11">
        <v>0</v>
      </c>
      <c r="R1970" s="4"/>
      <c r="S1970" s="12"/>
    </row>
    <row r="1971" spans="1:19" x14ac:dyDescent="0.25">
      <c r="A1971" s="9" t="s">
        <v>1117</v>
      </c>
      <c r="B1971" s="9" t="s">
        <v>291</v>
      </c>
      <c r="C1971" s="4">
        <v>201003108</v>
      </c>
      <c r="D1971" s="4"/>
      <c r="E1971" s="4" t="str">
        <f>"064022010"</f>
        <v>064022010</v>
      </c>
      <c r="F1971" s="10">
        <v>40302</v>
      </c>
      <c r="G1971" s="11">
        <v>376</v>
      </c>
      <c r="H1971" s="11">
        <v>0</v>
      </c>
      <c r="I1971" s="4"/>
      <c r="J1971" s="4"/>
      <c r="K1971" s="11">
        <v>0</v>
      </c>
      <c r="L1971" s="4"/>
      <c r="M1971" s="4"/>
      <c r="N1971" s="11">
        <v>376</v>
      </c>
      <c r="O1971" s="4" t="s">
        <v>56</v>
      </c>
      <c r="P1971" s="4" t="s">
        <v>57</v>
      </c>
      <c r="Q1971" s="11">
        <v>0</v>
      </c>
      <c r="R1971" s="4"/>
      <c r="S1971" s="12"/>
    </row>
    <row r="1972" spans="1:19" x14ac:dyDescent="0.25">
      <c r="A1972" s="9" t="s">
        <v>1117</v>
      </c>
      <c r="B1972" s="9" t="s">
        <v>291</v>
      </c>
      <c r="C1972" s="4">
        <v>201003117</v>
      </c>
      <c r="D1972" s="4"/>
      <c r="E1972" s="4" t="str">
        <f>"062022010"</f>
        <v>062022010</v>
      </c>
      <c r="F1972" s="10">
        <v>40296</v>
      </c>
      <c r="G1972" s="11">
        <v>350</v>
      </c>
      <c r="H1972" s="11">
        <v>0</v>
      </c>
      <c r="I1972" s="4"/>
      <c r="J1972" s="4"/>
      <c r="K1972" s="11">
        <v>0</v>
      </c>
      <c r="L1972" s="4"/>
      <c r="M1972" s="4"/>
      <c r="N1972" s="11">
        <v>350</v>
      </c>
      <c r="O1972" s="4" t="s">
        <v>56</v>
      </c>
      <c r="P1972" s="4" t="s">
        <v>57</v>
      </c>
      <c r="Q1972" s="11">
        <v>0</v>
      </c>
      <c r="R1972" s="4"/>
      <c r="S1972" s="12"/>
    </row>
    <row r="1973" spans="1:19" x14ac:dyDescent="0.25">
      <c r="A1973" s="9" t="s">
        <v>1117</v>
      </c>
      <c r="B1973" s="9" t="s">
        <v>291</v>
      </c>
      <c r="C1973" s="4">
        <v>201003119</v>
      </c>
      <c r="D1973" s="4" t="s">
        <v>1181</v>
      </c>
      <c r="E1973" s="4" t="str">
        <f>"062902010"</f>
        <v>062902010</v>
      </c>
      <c r="F1973" s="10">
        <v>40296</v>
      </c>
      <c r="G1973" s="11">
        <v>21.75</v>
      </c>
      <c r="H1973" s="11">
        <v>0</v>
      </c>
      <c r="I1973" s="4"/>
      <c r="J1973" s="4"/>
      <c r="K1973" s="11">
        <v>0</v>
      </c>
      <c r="L1973" s="4"/>
      <c r="M1973" s="4"/>
      <c r="N1973" s="11">
        <v>21.75</v>
      </c>
      <c r="O1973" s="4" t="s">
        <v>56</v>
      </c>
      <c r="P1973" s="4" t="s">
        <v>57</v>
      </c>
      <c r="Q1973" s="11">
        <v>0</v>
      </c>
      <c r="R1973" s="4"/>
      <c r="S1973" s="12"/>
    </row>
    <row r="1974" spans="1:19" x14ac:dyDescent="0.25">
      <c r="A1974" s="9" t="s">
        <v>1117</v>
      </c>
      <c r="B1974" s="9" t="s">
        <v>291</v>
      </c>
      <c r="C1974" s="4">
        <v>201003123</v>
      </c>
      <c r="D1974" s="4" t="s">
        <v>1236</v>
      </c>
      <c r="E1974" s="4" t="str">
        <f>"062682010"</f>
        <v>062682010</v>
      </c>
      <c r="F1974" s="10">
        <v>40296</v>
      </c>
      <c r="G1974" s="11">
        <v>350</v>
      </c>
      <c r="H1974" s="11">
        <v>0</v>
      </c>
      <c r="I1974" s="4"/>
      <c r="J1974" s="4"/>
      <c r="K1974" s="11">
        <v>0</v>
      </c>
      <c r="L1974" s="4"/>
      <c r="M1974" s="4"/>
      <c r="N1974" s="11">
        <v>350</v>
      </c>
      <c r="O1974" s="4" t="s">
        <v>56</v>
      </c>
      <c r="P1974" s="4" t="s">
        <v>57</v>
      </c>
      <c r="Q1974" s="11">
        <v>0</v>
      </c>
      <c r="R1974" s="4"/>
      <c r="S1974" s="12"/>
    </row>
    <row r="1975" spans="1:19" x14ac:dyDescent="0.25">
      <c r="A1975" s="9" t="s">
        <v>1117</v>
      </c>
      <c r="B1975" s="9" t="s">
        <v>291</v>
      </c>
      <c r="C1975" s="4">
        <v>201003128</v>
      </c>
      <c r="D1975" s="4" t="s">
        <v>1177</v>
      </c>
      <c r="E1975" s="4" t="str">
        <f>"062422010"</f>
        <v>062422010</v>
      </c>
      <c r="F1975" s="10">
        <v>40296</v>
      </c>
      <c r="G1975" s="11">
        <v>17.010000000000002</v>
      </c>
      <c r="H1975" s="11">
        <v>0</v>
      </c>
      <c r="I1975" s="4"/>
      <c r="J1975" s="4"/>
      <c r="K1975" s="11">
        <v>0</v>
      </c>
      <c r="L1975" s="4"/>
      <c r="M1975" s="4"/>
      <c r="N1975" s="11">
        <v>17.010000000000002</v>
      </c>
      <c r="O1975" s="4" t="s">
        <v>56</v>
      </c>
      <c r="P1975" s="4" t="s">
        <v>57</v>
      </c>
      <c r="Q1975" s="11">
        <v>0</v>
      </c>
      <c r="R1975" s="4"/>
      <c r="S1975" s="12"/>
    </row>
    <row r="1976" spans="1:19" x14ac:dyDescent="0.25">
      <c r="A1976" s="9" t="s">
        <v>1117</v>
      </c>
      <c r="B1976" s="9" t="s">
        <v>291</v>
      </c>
      <c r="C1976" s="4">
        <v>201003129</v>
      </c>
      <c r="D1976" s="4" t="s">
        <v>1177</v>
      </c>
      <c r="E1976" s="4" t="str">
        <f>"062402010"</f>
        <v>062402010</v>
      </c>
      <c r="F1976" s="10">
        <v>40296</v>
      </c>
      <c r="G1976" s="11">
        <v>16.95</v>
      </c>
      <c r="H1976" s="11">
        <v>0</v>
      </c>
      <c r="I1976" s="4"/>
      <c r="J1976" s="4"/>
      <c r="K1976" s="11">
        <v>0</v>
      </c>
      <c r="L1976" s="4"/>
      <c r="M1976" s="4"/>
      <c r="N1976" s="11">
        <v>16.95</v>
      </c>
      <c r="O1976" s="4" t="s">
        <v>56</v>
      </c>
      <c r="P1976" s="4" t="s">
        <v>57</v>
      </c>
      <c r="Q1976" s="11">
        <v>0</v>
      </c>
      <c r="R1976" s="4"/>
      <c r="S1976" s="12"/>
    </row>
    <row r="1977" spans="1:19" x14ac:dyDescent="0.25">
      <c r="A1977" s="9" t="s">
        <v>1117</v>
      </c>
      <c r="B1977" s="9" t="s">
        <v>291</v>
      </c>
      <c r="C1977" s="4">
        <v>201003135</v>
      </c>
      <c r="D1977" s="4" t="s">
        <v>1418</v>
      </c>
      <c r="E1977" s="4" t="str">
        <f>"062382010"</f>
        <v>062382010</v>
      </c>
      <c r="F1977" s="10">
        <v>40296</v>
      </c>
      <c r="G1977" s="11">
        <v>370.25</v>
      </c>
      <c r="H1977" s="11">
        <v>0</v>
      </c>
      <c r="I1977" s="4"/>
      <c r="J1977" s="4"/>
      <c r="K1977" s="11">
        <v>0</v>
      </c>
      <c r="L1977" s="4"/>
      <c r="M1977" s="4"/>
      <c r="N1977" s="11">
        <v>370.25</v>
      </c>
      <c r="O1977" s="4" t="s">
        <v>56</v>
      </c>
      <c r="P1977" s="4" t="s">
        <v>57</v>
      </c>
      <c r="Q1977" s="11">
        <v>0</v>
      </c>
      <c r="R1977" s="4"/>
      <c r="S1977" s="12"/>
    </row>
    <row r="1978" spans="1:19" x14ac:dyDescent="0.25">
      <c r="A1978" s="9" t="s">
        <v>1117</v>
      </c>
      <c r="B1978" s="9" t="s">
        <v>291</v>
      </c>
      <c r="C1978" s="4">
        <v>201003136</v>
      </c>
      <c r="D1978" s="4" t="s">
        <v>1489</v>
      </c>
      <c r="E1978" s="4" t="str">
        <f>"061762010"</f>
        <v>061762010</v>
      </c>
      <c r="F1978" s="10">
        <v>40296</v>
      </c>
      <c r="G1978" s="11">
        <v>8</v>
      </c>
      <c r="H1978" s="11">
        <v>0</v>
      </c>
      <c r="I1978" s="4"/>
      <c r="J1978" s="4"/>
      <c r="K1978" s="11">
        <v>0</v>
      </c>
      <c r="L1978" s="4"/>
      <c r="M1978" s="4"/>
      <c r="N1978" s="11">
        <v>8</v>
      </c>
      <c r="O1978" s="4" t="s">
        <v>56</v>
      </c>
      <c r="P1978" s="4" t="s">
        <v>57</v>
      </c>
      <c r="Q1978" s="11">
        <v>0</v>
      </c>
      <c r="R1978" s="4"/>
      <c r="S1978" s="12"/>
    </row>
    <row r="1979" spans="1:19" x14ac:dyDescent="0.25">
      <c r="A1979" s="9" t="s">
        <v>1117</v>
      </c>
      <c r="B1979" s="9" t="s">
        <v>1117</v>
      </c>
      <c r="C1979" s="4">
        <v>201003138</v>
      </c>
      <c r="D1979" s="4" t="s">
        <v>1201</v>
      </c>
      <c r="E1979" s="4" t="str">
        <f>"062182010"</f>
        <v>062182010</v>
      </c>
      <c r="F1979" s="10">
        <v>40296</v>
      </c>
      <c r="G1979" s="11">
        <v>350</v>
      </c>
      <c r="H1979" s="11">
        <v>0</v>
      </c>
      <c r="I1979" s="4"/>
      <c r="J1979" s="4"/>
      <c r="K1979" s="11">
        <v>0</v>
      </c>
      <c r="L1979" s="4"/>
      <c r="M1979" s="4"/>
      <c r="N1979" s="11">
        <v>350</v>
      </c>
      <c r="O1979" s="4" t="s">
        <v>56</v>
      </c>
      <c r="P1979" s="4" t="s">
        <v>57</v>
      </c>
      <c r="Q1979" s="11">
        <v>0</v>
      </c>
      <c r="R1979" s="4"/>
      <c r="S1979" s="12"/>
    </row>
    <row r="1980" spans="1:19" x14ac:dyDescent="0.25">
      <c r="A1980" s="9" t="s">
        <v>1117</v>
      </c>
      <c r="B1980" s="9" t="s">
        <v>291</v>
      </c>
      <c r="C1980" s="4">
        <v>201003167</v>
      </c>
      <c r="D1980" s="4" t="s">
        <v>1240</v>
      </c>
      <c r="E1980" s="4" t="str">
        <f>"062922010"</f>
        <v>062922010</v>
      </c>
      <c r="F1980" s="10">
        <v>40296</v>
      </c>
      <c r="G1980" s="11">
        <v>350</v>
      </c>
      <c r="H1980" s="11">
        <v>0</v>
      </c>
      <c r="I1980" s="4"/>
      <c r="J1980" s="4"/>
      <c r="K1980" s="11">
        <v>0</v>
      </c>
      <c r="L1980" s="4"/>
      <c r="M1980" s="4"/>
      <c r="N1980" s="11">
        <v>350</v>
      </c>
      <c r="O1980" s="4" t="s">
        <v>56</v>
      </c>
      <c r="P1980" s="4" t="s">
        <v>57</v>
      </c>
      <c r="Q1980" s="11">
        <v>0</v>
      </c>
      <c r="R1980" s="4"/>
      <c r="S1980" s="12"/>
    </row>
    <row r="1981" spans="1:19" x14ac:dyDescent="0.25">
      <c r="A1981" s="9" t="s">
        <v>1117</v>
      </c>
      <c r="B1981" s="9" t="s">
        <v>291</v>
      </c>
      <c r="C1981" s="4">
        <v>201003170</v>
      </c>
      <c r="D1981" s="4" t="s">
        <v>1177</v>
      </c>
      <c r="E1981" s="4" t="str">
        <f>"063322010"</f>
        <v>063322010</v>
      </c>
      <c r="F1981" s="10">
        <v>40297</v>
      </c>
      <c r="G1981" s="11">
        <v>41.27</v>
      </c>
      <c r="H1981" s="11">
        <v>0</v>
      </c>
      <c r="I1981" s="4"/>
      <c r="J1981" s="4"/>
      <c r="K1981" s="11">
        <v>0</v>
      </c>
      <c r="L1981" s="4"/>
      <c r="M1981" s="4"/>
      <c r="N1981" s="11">
        <v>41.27</v>
      </c>
      <c r="O1981" s="4" t="s">
        <v>56</v>
      </c>
      <c r="P1981" s="4" t="s">
        <v>57</v>
      </c>
      <c r="Q1981" s="11">
        <v>0</v>
      </c>
      <c r="R1981" s="4"/>
      <c r="S1981" s="12"/>
    </row>
    <row r="1982" spans="1:19" x14ac:dyDescent="0.25">
      <c r="A1982" s="9" t="s">
        <v>1117</v>
      </c>
      <c r="B1982" s="9" t="s">
        <v>291</v>
      </c>
      <c r="C1982" s="4">
        <v>201003172</v>
      </c>
      <c r="D1982" s="4" t="s">
        <v>1490</v>
      </c>
      <c r="E1982" s="4" t="str">
        <f>"063582010"</f>
        <v>063582010</v>
      </c>
      <c r="F1982" s="10">
        <v>40298</v>
      </c>
      <c r="G1982" s="11">
        <v>350</v>
      </c>
      <c r="H1982" s="11">
        <v>0</v>
      </c>
      <c r="I1982" s="4"/>
      <c r="J1982" s="4"/>
      <c r="K1982" s="11">
        <v>0</v>
      </c>
      <c r="L1982" s="4"/>
      <c r="M1982" s="4"/>
      <c r="N1982" s="11">
        <v>350</v>
      </c>
      <c r="O1982" s="4" t="s">
        <v>56</v>
      </c>
      <c r="P1982" s="4" t="s">
        <v>57</v>
      </c>
      <c r="Q1982" s="11">
        <v>0</v>
      </c>
      <c r="R1982" s="4"/>
      <c r="S1982" s="12"/>
    </row>
    <row r="1983" spans="1:19" x14ac:dyDescent="0.25">
      <c r="A1983" s="9" t="s">
        <v>1117</v>
      </c>
      <c r="B1983" s="9" t="s">
        <v>291</v>
      </c>
      <c r="C1983" s="4">
        <v>201003177</v>
      </c>
      <c r="D1983" s="4" t="s">
        <v>1401</v>
      </c>
      <c r="E1983" s="4" t="str">
        <f>"063602010"</f>
        <v>063602010</v>
      </c>
      <c r="F1983" s="10">
        <v>40298</v>
      </c>
      <c r="G1983" s="11">
        <v>371.24</v>
      </c>
      <c r="H1983" s="11">
        <v>0</v>
      </c>
      <c r="I1983" s="4"/>
      <c r="J1983" s="4"/>
      <c r="K1983" s="11">
        <v>0</v>
      </c>
      <c r="L1983" s="4"/>
      <c r="M1983" s="4"/>
      <c r="N1983" s="11">
        <v>371.24</v>
      </c>
      <c r="O1983" s="4" t="s">
        <v>56</v>
      </c>
      <c r="P1983" s="4" t="s">
        <v>57</v>
      </c>
      <c r="Q1983" s="11">
        <v>0</v>
      </c>
      <c r="R1983" s="4"/>
      <c r="S1983" s="12"/>
    </row>
    <row r="1984" spans="1:19" x14ac:dyDescent="0.25">
      <c r="A1984" s="9" t="s">
        <v>1117</v>
      </c>
      <c r="B1984" s="9" t="s">
        <v>291</v>
      </c>
      <c r="C1984" s="4">
        <v>201003179</v>
      </c>
      <c r="D1984" s="4" t="s">
        <v>1181</v>
      </c>
      <c r="E1984" s="4" t="str">
        <f>"063082010"</f>
        <v>063082010</v>
      </c>
      <c r="F1984" s="10">
        <v>40296</v>
      </c>
      <c r="G1984" s="11">
        <v>20.25</v>
      </c>
      <c r="H1984" s="11">
        <v>0</v>
      </c>
      <c r="I1984" s="4"/>
      <c r="J1984" s="4"/>
      <c r="K1984" s="11">
        <v>0</v>
      </c>
      <c r="L1984" s="4"/>
      <c r="M1984" s="4"/>
      <c r="N1984" s="11">
        <v>20.25</v>
      </c>
      <c r="O1984" s="4" t="s">
        <v>56</v>
      </c>
      <c r="P1984" s="4" t="s">
        <v>57</v>
      </c>
      <c r="Q1984" s="11">
        <v>0</v>
      </c>
      <c r="R1984" s="4"/>
      <c r="S1984" s="12"/>
    </row>
    <row r="1985" spans="1:19" x14ac:dyDescent="0.25">
      <c r="A1985" s="9" t="s">
        <v>1117</v>
      </c>
      <c r="B1985" s="9" t="s">
        <v>291</v>
      </c>
      <c r="C1985" s="4">
        <v>201003183</v>
      </c>
      <c r="D1985" s="4" t="s">
        <v>1491</v>
      </c>
      <c r="E1985" s="4" t="str">
        <f>"064322010"</f>
        <v>064322010</v>
      </c>
      <c r="F1985" s="10">
        <v>40302</v>
      </c>
      <c r="G1985" s="11">
        <v>350</v>
      </c>
      <c r="H1985" s="11">
        <v>0</v>
      </c>
      <c r="I1985" s="4"/>
      <c r="J1985" s="4"/>
      <c r="K1985" s="11">
        <v>0</v>
      </c>
      <c r="L1985" s="4"/>
      <c r="M1985" s="4"/>
      <c r="N1985" s="11">
        <v>350</v>
      </c>
      <c r="O1985" s="4" t="s">
        <v>56</v>
      </c>
      <c r="P1985" s="4" t="s">
        <v>57</v>
      </c>
      <c r="Q1985" s="11">
        <v>0</v>
      </c>
      <c r="R1985" s="4"/>
      <c r="S1985" s="12"/>
    </row>
    <row r="1986" spans="1:19" x14ac:dyDescent="0.25">
      <c r="A1986" s="9" t="s">
        <v>1117</v>
      </c>
      <c r="B1986" s="9" t="s">
        <v>291</v>
      </c>
      <c r="C1986" s="4">
        <v>201003189</v>
      </c>
      <c r="D1986" s="4" t="s">
        <v>1245</v>
      </c>
      <c r="E1986" s="4" t="str">
        <f>"064162010"</f>
        <v>064162010</v>
      </c>
      <c r="F1986" s="10">
        <v>40302</v>
      </c>
      <c r="G1986" s="11">
        <v>408.19</v>
      </c>
      <c r="H1986" s="11">
        <v>0</v>
      </c>
      <c r="I1986" s="4"/>
      <c r="J1986" s="4"/>
      <c r="K1986" s="11">
        <v>0</v>
      </c>
      <c r="L1986" s="4"/>
      <c r="M1986" s="4"/>
      <c r="N1986" s="11">
        <v>408.19</v>
      </c>
      <c r="O1986" s="4" t="s">
        <v>56</v>
      </c>
      <c r="P1986" s="4" t="s">
        <v>57</v>
      </c>
      <c r="Q1986" s="11">
        <v>0</v>
      </c>
      <c r="R1986" s="4"/>
      <c r="S1986" s="12"/>
    </row>
    <row r="1987" spans="1:19" x14ac:dyDescent="0.25">
      <c r="A1987" s="9" t="s">
        <v>1117</v>
      </c>
      <c r="B1987" s="9" t="s">
        <v>1117</v>
      </c>
      <c r="C1987" s="4">
        <v>201003196</v>
      </c>
      <c r="D1987" s="4" t="s">
        <v>1492</v>
      </c>
      <c r="E1987" s="4" t="str">
        <f>"066062010"</f>
        <v>066062010</v>
      </c>
      <c r="F1987" s="10">
        <v>40308</v>
      </c>
      <c r="G1987" s="11">
        <v>350</v>
      </c>
      <c r="H1987" s="11">
        <v>0</v>
      </c>
      <c r="I1987" s="4"/>
      <c r="J1987" s="4"/>
      <c r="K1987" s="11">
        <v>0</v>
      </c>
      <c r="L1987" s="4"/>
      <c r="M1987" s="4"/>
      <c r="N1987" s="11">
        <v>350</v>
      </c>
      <c r="O1987" s="4" t="s">
        <v>56</v>
      </c>
      <c r="P1987" s="4" t="s">
        <v>57</v>
      </c>
      <c r="Q1987" s="11">
        <v>0</v>
      </c>
      <c r="R1987" s="4"/>
      <c r="S1987" s="12"/>
    </row>
    <row r="1988" spans="1:19" x14ac:dyDescent="0.25">
      <c r="A1988" s="9" t="s">
        <v>1117</v>
      </c>
      <c r="B1988" s="9" t="s">
        <v>291</v>
      </c>
      <c r="C1988" s="4">
        <v>201003197</v>
      </c>
      <c r="D1988" s="4"/>
      <c r="E1988" s="4" t="str">
        <f>"064062010"</f>
        <v>064062010</v>
      </c>
      <c r="F1988" s="10">
        <v>40302</v>
      </c>
      <c r="G1988" s="11">
        <v>20</v>
      </c>
      <c r="H1988" s="11">
        <v>0</v>
      </c>
      <c r="I1988" s="4"/>
      <c r="J1988" s="4"/>
      <c r="K1988" s="11">
        <v>0</v>
      </c>
      <c r="L1988" s="4"/>
      <c r="M1988" s="4"/>
      <c r="N1988" s="11">
        <v>20</v>
      </c>
      <c r="O1988" s="4" t="s">
        <v>56</v>
      </c>
      <c r="P1988" s="4" t="s">
        <v>57</v>
      </c>
      <c r="Q1988" s="11">
        <v>0</v>
      </c>
      <c r="R1988" s="4"/>
      <c r="S1988" s="12"/>
    </row>
    <row r="1989" spans="1:19" x14ac:dyDescent="0.25">
      <c r="A1989" s="9" t="s">
        <v>1117</v>
      </c>
      <c r="B1989" s="9" t="s">
        <v>1117</v>
      </c>
      <c r="C1989" s="4">
        <v>201003198</v>
      </c>
      <c r="D1989" s="4" t="s">
        <v>1143</v>
      </c>
      <c r="E1989" s="4" t="str">
        <f>"065462010"</f>
        <v>065462010</v>
      </c>
      <c r="F1989" s="10">
        <v>40304</v>
      </c>
      <c r="G1989" s="11">
        <v>355</v>
      </c>
      <c r="H1989" s="11">
        <v>0</v>
      </c>
      <c r="I1989" s="4"/>
      <c r="J1989" s="4"/>
      <c r="K1989" s="11">
        <v>0</v>
      </c>
      <c r="L1989" s="4"/>
      <c r="M1989" s="4"/>
      <c r="N1989" s="11">
        <v>355</v>
      </c>
      <c r="O1989" s="4" t="s">
        <v>56</v>
      </c>
      <c r="P1989" s="4" t="s">
        <v>57</v>
      </c>
      <c r="Q1989" s="11">
        <v>0</v>
      </c>
      <c r="R1989" s="4"/>
      <c r="S1989" s="12"/>
    </row>
    <row r="1990" spans="1:19" x14ac:dyDescent="0.25">
      <c r="A1990" s="9" t="s">
        <v>1117</v>
      </c>
      <c r="B1990" s="9" t="s">
        <v>1117</v>
      </c>
      <c r="C1990" s="4">
        <v>201003199</v>
      </c>
      <c r="D1990" s="4" t="s">
        <v>1143</v>
      </c>
      <c r="E1990" s="4" t="str">
        <f>"065382010"</f>
        <v>065382010</v>
      </c>
      <c r="F1990" s="10">
        <v>40304</v>
      </c>
      <c r="G1990" s="11">
        <v>20</v>
      </c>
      <c r="H1990" s="11">
        <v>0</v>
      </c>
      <c r="I1990" s="4"/>
      <c r="J1990" s="4"/>
      <c r="K1990" s="11">
        <v>0</v>
      </c>
      <c r="L1990" s="4"/>
      <c r="M1990" s="4"/>
      <c r="N1990" s="11">
        <v>20</v>
      </c>
      <c r="O1990" s="4" t="s">
        <v>56</v>
      </c>
      <c r="P1990" s="4" t="s">
        <v>57</v>
      </c>
      <c r="Q1990" s="11">
        <v>0</v>
      </c>
      <c r="R1990" s="4"/>
      <c r="S1990" s="12"/>
    </row>
    <row r="1991" spans="1:19" x14ac:dyDescent="0.25">
      <c r="A1991" s="9" t="s">
        <v>1117</v>
      </c>
      <c r="B1991" s="9" t="s">
        <v>1117</v>
      </c>
      <c r="C1991" s="4">
        <v>201003200</v>
      </c>
      <c r="D1991" s="4" t="s">
        <v>1493</v>
      </c>
      <c r="E1991" s="4" t="str">
        <f>"066082010"</f>
        <v>066082010</v>
      </c>
      <c r="F1991" s="10">
        <v>40308</v>
      </c>
      <c r="G1991" s="11">
        <v>350</v>
      </c>
      <c r="H1991" s="11">
        <v>0</v>
      </c>
      <c r="I1991" s="4"/>
      <c r="J1991" s="4"/>
      <c r="K1991" s="11">
        <v>0</v>
      </c>
      <c r="L1991" s="4"/>
      <c r="M1991" s="4"/>
      <c r="N1991" s="11">
        <v>350</v>
      </c>
      <c r="O1991" s="4" t="s">
        <v>56</v>
      </c>
      <c r="P1991" s="4" t="s">
        <v>57</v>
      </c>
      <c r="Q1991" s="11">
        <v>0</v>
      </c>
      <c r="R1991" s="4"/>
      <c r="S1991" s="12"/>
    </row>
    <row r="1992" spans="1:19" x14ac:dyDescent="0.25">
      <c r="A1992" s="9" t="s">
        <v>1117</v>
      </c>
      <c r="B1992" s="9" t="s">
        <v>1117</v>
      </c>
      <c r="C1992" s="4">
        <v>201003201</v>
      </c>
      <c r="D1992" s="4" t="s">
        <v>1493</v>
      </c>
      <c r="E1992" s="4" t="str">
        <f>"064442010"</f>
        <v>064442010</v>
      </c>
      <c r="F1992" s="10">
        <v>40302</v>
      </c>
      <c r="G1992" s="11">
        <v>350</v>
      </c>
      <c r="H1992" s="11">
        <v>0</v>
      </c>
      <c r="I1992" s="4"/>
      <c r="J1992" s="4"/>
      <c r="K1992" s="11">
        <v>0</v>
      </c>
      <c r="L1992" s="4"/>
      <c r="M1992" s="4"/>
      <c r="N1992" s="11">
        <v>350</v>
      </c>
      <c r="O1992" s="4" t="s">
        <v>56</v>
      </c>
      <c r="P1992" s="4" t="s">
        <v>57</v>
      </c>
      <c r="Q1992" s="11">
        <v>0</v>
      </c>
      <c r="R1992" s="4"/>
      <c r="S1992" s="12"/>
    </row>
    <row r="1993" spans="1:19" x14ac:dyDescent="0.25">
      <c r="A1993" s="9" t="s">
        <v>1117</v>
      </c>
      <c r="B1993" s="9" t="s">
        <v>291</v>
      </c>
      <c r="C1993" s="4">
        <v>201003214</v>
      </c>
      <c r="D1993" s="4" t="s">
        <v>1177</v>
      </c>
      <c r="E1993" s="4" t="str">
        <f>"063842010"</f>
        <v>063842010</v>
      </c>
      <c r="F1993" s="10">
        <v>40302</v>
      </c>
      <c r="G1993" s="11">
        <v>55.45</v>
      </c>
      <c r="H1993" s="11">
        <v>0</v>
      </c>
      <c r="I1993" s="4"/>
      <c r="J1993" s="4"/>
      <c r="K1993" s="11">
        <v>0</v>
      </c>
      <c r="L1993" s="4"/>
      <c r="M1993" s="4"/>
      <c r="N1993" s="11">
        <v>55.45</v>
      </c>
      <c r="O1993" s="4" t="s">
        <v>56</v>
      </c>
      <c r="P1993" s="4" t="s">
        <v>57</v>
      </c>
      <c r="Q1993" s="11">
        <v>0</v>
      </c>
      <c r="R1993" s="4"/>
      <c r="S1993" s="12"/>
    </row>
    <row r="1994" spans="1:19" x14ac:dyDescent="0.25">
      <c r="A1994" s="9" t="s">
        <v>1117</v>
      </c>
      <c r="B1994" s="9" t="s">
        <v>291</v>
      </c>
      <c r="C1994" s="4">
        <v>201003221</v>
      </c>
      <c r="D1994" s="4" t="s">
        <v>1494</v>
      </c>
      <c r="E1994" s="4" t="str">
        <f>"064102010"</f>
        <v>064102010</v>
      </c>
      <c r="F1994" s="10">
        <v>40302</v>
      </c>
      <c r="G1994" s="11">
        <v>28.55</v>
      </c>
      <c r="H1994" s="11">
        <v>0</v>
      </c>
      <c r="I1994" s="4"/>
      <c r="J1994" s="4"/>
      <c r="K1994" s="11">
        <v>0</v>
      </c>
      <c r="L1994" s="4"/>
      <c r="M1994" s="4"/>
      <c r="N1994" s="11">
        <v>28.55</v>
      </c>
      <c r="O1994" s="4" t="s">
        <v>56</v>
      </c>
      <c r="P1994" s="4" t="s">
        <v>57</v>
      </c>
      <c r="Q1994" s="11">
        <v>0</v>
      </c>
      <c r="R1994" s="4"/>
      <c r="S1994" s="12"/>
    </row>
    <row r="1995" spans="1:19" x14ac:dyDescent="0.25">
      <c r="A1995" s="9" t="s">
        <v>1117</v>
      </c>
      <c r="B1995" s="9" t="s">
        <v>291</v>
      </c>
      <c r="C1995" s="4">
        <v>201003228</v>
      </c>
      <c r="D1995" s="4" t="s">
        <v>1495</v>
      </c>
      <c r="E1995" s="4" t="str">
        <f>"064822010"</f>
        <v>064822010</v>
      </c>
      <c r="F1995" s="10">
        <v>40302</v>
      </c>
      <c r="G1995" s="11">
        <v>350</v>
      </c>
      <c r="H1995" s="11">
        <v>0</v>
      </c>
      <c r="I1995" s="4"/>
      <c r="J1995" s="4"/>
      <c r="K1995" s="11">
        <v>0</v>
      </c>
      <c r="L1995" s="4"/>
      <c r="M1995" s="4"/>
      <c r="N1995" s="11">
        <v>350</v>
      </c>
      <c r="O1995" s="4" t="s">
        <v>56</v>
      </c>
      <c r="P1995" s="4" t="s">
        <v>57</v>
      </c>
      <c r="Q1995" s="11">
        <v>0</v>
      </c>
      <c r="R1995" s="4"/>
      <c r="S1995" s="12"/>
    </row>
    <row r="1996" spans="1:19" x14ac:dyDescent="0.25">
      <c r="A1996" s="9" t="s">
        <v>1117</v>
      </c>
      <c r="B1996" s="9" t="s">
        <v>1117</v>
      </c>
      <c r="C1996" s="4">
        <v>201003233</v>
      </c>
      <c r="D1996" s="4" t="s">
        <v>1145</v>
      </c>
      <c r="E1996" s="4" t="str">
        <f>"064692010"</f>
        <v>064692010</v>
      </c>
      <c r="F1996" s="10">
        <v>40302</v>
      </c>
      <c r="G1996" s="11">
        <v>350</v>
      </c>
      <c r="H1996" s="11">
        <v>0</v>
      </c>
      <c r="I1996" s="4"/>
      <c r="J1996" s="4"/>
      <c r="K1996" s="11">
        <v>0</v>
      </c>
      <c r="L1996" s="4"/>
      <c r="M1996" s="4"/>
      <c r="N1996" s="11">
        <v>350</v>
      </c>
      <c r="O1996" s="4" t="s">
        <v>56</v>
      </c>
      <c r="P1996" s="4" t="s">
        <v>57</v>
      </c>
      <c r="Q1996" s="11">
        <v>0</v>
      </c>
      <c r="R1996" s="4"/>
      <c r="S1996" s="12"/>
    </row>
    <row r="1997" spans="1:19" x14ac:dyDescent="0.25">
      <c r="A1997" s="9" t="s">
        <v>1117</v>
      </c>
      <c r="B1997" s="9" t="s">
        <v>291</v>
      </c>
      <c r="C1997" s="4">
        <v>201003236</v>
      </c>
      <c r="D1997" s="4" t="s">
        <v>1177</v>
      </c>
      <c r="E1997" s="4" t="str">
        <f>"064402010"</f>
        <v>064402010</v>
      </c>
      <c r="F1997" s="10">
        <v>40302</v>
      </c>
      <c r="G1997" s="11">
        <v>14.94</v>
      </c>
      <c r="H1997" s="11">
        <v>0</v>
      </c>
      <c r="I1997" s="4"/>
      <c r="J1997" s="4"/>
      <c r="K1997" s="11">
        <v>0</v>
      </c>
      <c r="L1997" s="4"/>
      <c r="M1997" s="4"/>
      <c r="N1997" s="11">
        <v>14.94</v>
      </c>
      <c r="O1997" s="4" t="s">
        <v>56</v>
      </c>
      <c r="P1997" s="4" t="s">
        <v>57</v>
      </c>
      <c r="Q1997" s="11">
        <v>0</v>
      </c>
      <c r="R1997" s="4"/>
      <c r="S1997" s="12"/>
    </row>
    <row r="1998" spans="1:19" x14ac:dyDescent="0.25">
      <c r="A1998" s="9" t="s">
        <v>1117</v>
      </c>
      <c r="B1998" s="9" t="s">
        <v>291</v>
      </c>
      <c r="C1998" s="4">
        <v>201003237</v>
      </c>
      <c r="D1998" s="4" t="s">
        <v>1177</v>
      </c>
      <c r="E1998" s="4" t="str">
        <f>"064672010"</f>
        <v>064672010</v>
      </c>
      <c r="F1998" s="10">
        <v>40302</v>
      </c>
      <c r="G1998" s="11">
        <v>18.59</v>
      </c>
      <c r="H1998" s="11">
        <v>0</v>
      </c>
      <c r="I1998" s="4"/>
      <c r="J1998" s="4"/>
      <c r="K1998" s="11">
        <v>0</v>
      </c>
      <c r="L1998" s="4"/>
      <c r="M1998" s="4"/>
      <c r="N1998" s="11">
        <v>18.59</v>
      </c>
      <c r="O1998" s="4" t="s">
        <v>56</v>
      </c>
      <c r="P1998" s="4" t="s">
        <v>57</v>
      </c>
      <c r="Q1998" s="11">
        <v>0</v>
      </c>
      <c r="R1998" s="4"/>
      <c r="S1998" s="12"/>
    </row>
    <row r="1999" spans="1:19" x14ac:dyDescent="0.25">
      <c r="A1999" s="9" t="s">
        <v>1117</v>
      </c>
      <c r="B1999" s="9" t="s">
        <v>291</v>
      </c>
      <c r="C1999" s="4">
        <v>201003238</v>
      </c>
      <c r="D1999" s="4" t="s">
        <v>1496</v>
      </c>
      <c r="E1999" s="4" t="str">
        <f>"064382010"</f>
        <v>064382010</v>
      </c>
      <c r="F1999" s="10">
        <v>40302</v>
      </c>
      <c r="G1999" s="11">
        <v>350</v>
      </c>
      <c r="H1999" s="11">
        <v>0</v>
      </c>
      <c r="I1999" s="4"/>
      <c r="J1999" s="4"/>
      <c r="K1999" s="11">
        <v>0</v>
      </c>
      <c r="L1999" s="4"/>
      <c r="M1999" s="4"/>
      <c r="N1999" s="11">
        <v>350</v>
      </c>
      <c r="O1999" s="4" t="s">
        <v>56</v>
      </c>
      <c r="P1999" s="4" t="s">
        <v>57</v>
      </c>
      <c r="Q1999" s="11">
        <v>0</v>
      </c>
      <c r="R1999" s="4"/>
      <c r="S1999" s="12"/>
    </row>
    <row r="2000" spans="1:19" x14ac:dyDescent="0.25">
      <c r="A2000" s="9" t="s">
        <v>1117</v>
      </c>
      <c r="B2000" s="9" t="s">
        <v>291</v>
      </c>
      <c r="C2000" s="4">
        <v>201003244</v>
      </c>
      <c r="D2000" s="4" t="s">
        <v>1497</v>
      </c>
      <c r="E2000" s="4" t="str">
        <f>"070952010"</f>
        <v>070952010</v>
      </c>
      <c r="F2000" s="10">
        <v>40318</v>
      </c>
      <c r="G2000" s="11">
        <v>5100000</v>
      </c>
      <c r="H2000" s="11">
        <v>0</v>
      </c>
      <c r="I2000" s="4"/>
      <c r="J2000" s="4"/>
      <c r="K2000" s="11">
        <v>5100000</v>
      </c>
      <c r="L2000" s="4" t="s">
        <v>104</v>
      </c>
      <c r="M2000" s="4" t="s">
        <v>105</v>
      </c>
      <c r="N2000" s="11">
        <v>0</v>
      </c>
      <c r="O2000" s="4"/>
      <c r="P2000" s="4"/>
      <c r="Q2000" s="11">
        <v>0</v>
      </c>
      <c r="R2000" s="4"/>
      <c r="S2000" s="12"/>
    </row>
    <row r="2001" spans="1:19" x14ac:dyDescent="0.25">
      <c r="A2001" s="9" t="s">
        <v>1117</v>
      </c>
      <c r="B2001" s="9" t="s">
        <v>291</v>
      </c>
      <c r="C2001" s="4">
        <v>201003255</v>
      </c>
      <c r="D2001" s="4"/>
      <c r="E2001" s="4" t="str">
        <f>"064982010"</f>
        <v>064982010</v>
      </c>
      <c r="F2001" s="10">
        <v>40302</v>
      </c>
      <c r="G2001" s="11">
        <v>350</v>
      </c>
      <c r="H2001" s="11">
        <v>0</v>
      </c>
      <c r="I2001" s="4"/>
      <c r="J2001" s="4"/>
      <c r="K2001" s="11">
        <v>0</v>
      </c>
      <c r="L2001" s="4"/>
      <c r="M2001" s="4"/>
      <c r="N2001" s="11">
        <v>350</v>
      </c>
      <c r="O2001" s="4" t="s">
        <v>56</v>
      </c>
      <c r="P2001" s="4" t="s">
        <v>57</v>
      </c>
      <c r="Q2001" s="11">
        <v>0</v>
      </c>
      <c r="R2001" s="4"/>
      <c r="S2001" s="12"/>
    </row>
    <row r="2002" spans="1:19" x14ac:dyDescent="0.25">
      <c r="A2002" s="9" t="s">
        <v>1117</v>
      </c>
      <c r="B2002" s="9" t="s">
        <v>291</v>
      </c>
      <c r="C2002" s="4">
        <v>201003257</v>
      </c>
      <c r="D2002" s="4"/>
      <c r="E2002" s="4" t="str">
        <f>"065022010"</f>
        <v>065022010</v>
      </c>
      <c r="F2002" s="10">
        <v>40302</v>
      </c>
      <c r="G2002" s="11">
        <v>19.559999999999999</v>
      </c>
      <c r="H2002" s="11">
        <v>0</v>
      </c>
      <c r="I2002" s="4"/>
      <c r="J2002" s="4"/>
      <c r="K2002" s="11">
        <v>0</v>
      </c>
      <c r="L2002" s="4"/>
      <c r="M2002" s="4"/>
      <c r="N2002" s="11">
        <v>19.559999999999999</v>
      </c>
      <c r="O2002" s="4" t="s">
        <v>56</v>
      </c>
      <c r="P2002" s="4" t="s">
        <v>57</v>
      </c>
      <c r="Q2002" s="11">
        <v>0</v>
      </c>
      <c r="R2002" s="4"/>
      <c r="S2002" s="12"/>
    </row>
    <row r="2003" spans="1:19" x14ac:dyDescent="0.25">
      <c r="A2003" s="9" t="s">
        <v>1117</v>
      </c>
      <c r="B2003" s="9" t="s">
        <v>291</v>
      </c>
      <c r="C2003" s="4">
        <v>201003259</v>
      </c>
      <c r="D2003" s="4"/>
      <c r="E2003" s="4" t="str">
        <f>"065262010"</f>
        <v>065262010</v>
      </c>
      <c r="F2003" s="10">
        <v>40304</v>
      </c>
      <c r="G2003" s="11">
        <v>55.95</v>
      </c>
      <c r="H2003" s="11">
        <v>0</v>
      </c>
      <c r="I2003" s="4"/>
      <c r="J2003" s="4"/>
      <c r="K2003" s="11">
        <v>0</v>
      </c>
      <c r="L2003" s="4"/>
      <c r="M2003" s="4"/>
      <c r="N2003" s="11">
        <v>55.95</v>
      </c>
      <c r="O2003" s="4" t="s">
        <v>56</v>
      </c>
      <c r="P2003" s="4" t="s">
        <v>57</v>
      </c>
      <c r="Q2003" s="11">
        <v>0</v>
      </c>
      <c r="R2003" s="4"/>
      <c r="S2003" s="12"/>
    </row>
    <row r="2004" spans="1:19" x14ac:dyDescent="0.25">
      <c r="A2004" s="9" t="s">
        <v>1117</v>
      </c>
      <c r="B2004" s="9" t="s">
        <v>291</v>
      </c>
      <c r="C2004" s="4">
        <v>201003260</v>
      </c>
      <c r="D2004" s="4"/>
      <c r="E2004" s="4" t="str">
        <f>"077312010"</f>
        <v>077312010</v>
      </c>
      <c r="F2004" s="10">
        <v>40338</v>
      </c>
      <c r="G2004" s="11">
        <v>278.89</v>
      </c>
      <c r="H2004" s="11">
        <v>0</v>
      </c>
      <c r="I2004" s="4"/>
      <c r="J2004" s="4"/>
      <c r="K2004" s="11">
        <v>0</v>
      </c>
      <c r="L2004" s="4"/>
      <c r="M2004" s="4"/>
      <c r="N2004" s="11">
        <v>278</v>
      </c>
      <c r="O2004" s="4" t="s">
        <v>56</v>
      </c>
      <c r="P2004" s="4" t="s">
        <v>57</v>
      </c>
      <c r="Q2004" s="11">
        <v>0</v>
      </c>
      <c r="R2004" s="4"/>
      <c r="S2004" s="12"/>
    </row>
    <row r="2005" spans="1:19" x14ac:dyDescent="0.25">
      <c r="A2005" s="9" t="s">
        <v>1117</v>
      </c>
      <c r="B2005" s="9" t="s">
        <v>291</v>
      </c>
      <c r="C2005" s="4">
        <v>201003265</v>
      </c>
      <c r="D2005" s="4" t="s">
        <v>1161</v>
      </c>
      <c r="E2005" s="4" t="str">
        <f>"066302010"</f>
        <v>066302010</v>
      </c>
      <c r="F2005" s="10">
        <v>40308</v>
      </c>
      <c r="G2005" s="11">
        <v>366.47</v>
      </c>
      <c r="H2005" s="11">
        <v>0</v>
      </c>
      <c r="I2005" s="4"/>
      <c r="J2005" s="4"/>
      <c r="K2005" s="11">
        <v>0</v>
      </c>
      <c r="L2005" s="4"/>
      <c r="M2005" s="4"/>
      <c r="N2005" s="11">
        <v>366.47</v>
      </c>
      <c r="O2005" s="4" t="s">
        <v>56</v>
      </c>
      <c r="P2005" s="4" t="s">
        <v>57</v>
      </c>
      <c r="Q2005" s="11">
        <v>0</v>
      </c>
      <c r="R2005" s="4"/>
      <c r="S2005" s="12"/>
    </row>
    <row r="2006" spans="1:19" x14ac:dyDescent="0.25">
      <c r="A2006" s="9" t="s">
        <v>1117</v>
      </c>
      <c r="B2006" s="9" t="s">
        <v>291</v>
      </c>
      <c r="C2006" s="4">
        <v>201003267</v>
      </c>
      <c r="D2006" s="4"/>
      <c r="E2006" s="4" t="str">
        <f>"065002010"</f>
        <v>065002010</v>
      </c>
      <c r="F2006" s="10">
        <v>40302</v>
      </c>
      <c r="G2006" s="11">
        <v>350</v>
      </c>
      <c r="H2006" s="11">
        <v>0</v>
      </c>
      <c r="I2006" s="4"/>
      <c r="J2006" s="4"/>
      <c r="K2006" s="11">
        <v>0</v>
      </c>
      <c r="L2006" s="4"/>
      <c r="M2006" s="4"/>
      <c r="N2006" s="11">
        <v>350</v>
      </c>
      <c r="O2006" s="4" t="s">
        <v>56</v>
      </c>
      <c r="P2006" s="4" t="s">
        <v>57</v>
      </c>
      <c r="Q2006" s="11">
        <v>0</v>
      </c>
      <c r="R2006" s="4"/>
      <c r="S2006" s="12"/>
    </row>
    <row r="2007" spans="1:19" x14ac:dyDescent="0.25">
      <c r="A2007" s="9" t="s">
        <v>1117</v>
      </c>
      <c r="B2007" s="9" t="s">
        <v>291</v>
      </c>
      <c r="C2007" s="4">
        <v>201003268</v>
      </c>
      <c r="D2007" s="4" t="s">
        <v>1498</v>
      </c>
      <c r="E2007" s="4" t="str">
        <f>"065842010"</f>
        <v>065842010</v>
      </c>
      <c r="F2007" s="10">
        <v>40305</v>
      </c>
      <c r="G2007" s="11">
        <v>350</v>
      </c>
      <c r="H2007" s="11">
        <v>0</v>
      </c>
      <c r="I2007" s="4"/>
      <c r="J2007" s="4"/>
      <c r="K2007" s="11">
        <v>0</v>
      </c>
      <c r="L2007" s="4"/>
      <c r="M2007" s="4"/>
      <c r="N2007" s="11">
        <v>350</v>
      </c>
      <c r="O2007" s="4" t="s">
        <v>56</v>
      </c>
      <c r="P2007" s="4" t="s">
        <v>57</v>
      </c>
      <c r="Q2007" s="11">
        <v>0</v>
      </c>
      <c r="R2007" s="4"/>
      <c r="S2007" s="12"/>
    </row>
    <row r="2008" spans="1:19" x14ac:dyDescent="0.25">
      <c r="A2008" s="9" t="s">
        <v>1117</v>
      </c>
      <c r="B2008" s="9" t="s">
        <v>291</v>
      </c>
      <c r="C2008" s="4">
        <v>201003270</v>
      </c>
      <c r="D2008" s="4" t="s">
        <v>1164</v>
      </c>
      <c r="E2008" s="4" t="str">
        <f>"065082010"</f>
        <v>065082010</v>
      </c>
      <c r="F2008" s="10">
        <v>40302</v>
      </c>
      <c r="G2008" s="11">
        <v>350</v>
      </c>
      <c r="H2008" s="11">
        <v>0</v>
      </c>
      <c r="I2008" s="4"/>
      <c r="J2008" s="4"/>
      <c r="K2008" s="11">
        <v>0</v>
      </c>
      <c r="L2008" s="4"/>
      <c r="M2008" s="4"/>
      <c r="N2008" s="11">
        <v>350</v>
      </c>
      <c r="O2008" s="4" t="s">
        <v>56</v>
      </c>
      <c r="P2008" s="4" t="s">
        <v>57</v>
      </c>
      <c r="Q2008" s="11">
        <v>0</v>
      </c>
      <c r="R2008" s="4"/>
      <c r="S2008" s="12"/>
    </row>
    <row r="2009" spans="1:19" x14ac:dyDescent="0.25">
      <c r="A2009" s="9" t="s">
        <v>1117</v>
      </c>
      <c r="B2009" s="9" t="s">
        <v>291</v>
      </c>
      <c r="C2009" s="4">
        <v>201003272</v>
      </c>
      <c r="D2009" s="4" t="s">
        <v>1499</v>
      </c>
      <c r="E2009" s="4" t="str">
        <f>"065062010"</f>
        <v>065062010</v>
      </c>
      <c r="F2009" s="10">
        <v>40302</v>
      </c>
      <c r="G2009" s="11">
        <v>350</v>
      </c>
      <c r="H2009" s="11">
        <v>0</v>
      </c>
      <c r="I2009" s="4"/>
      <c r="J2009" s="4"/>
      <c r="K2009" s="11">
        <v>0</v>
      </c>
      <c r="L2009" s="4"/>
      <c r="M2009" s="4"/>
      <c r="N2009" s="11">
        <v>350</v>
      </c>
      <c r="O2009" s="4" t="s">
        <v>56</v>
      </c>
      <c r="P2009" s="4" t="s">
        <v>57</v>
      </c>
      <c r="Q2009" s="11">
        <v>0</v>
      </c>
      <c r="R2009" s="4"/>
      <c r="S2009" s="12"/>
    </row>
    <row r="2010" spans="1:19" x14ac:dyDescent="0.25">
      <c r="A2010" s="9" t="s">
        <v>1117</v>
      </c>
      <c r="B2010" s="9" t="s">
        <v>291</v>
      </c>
      <c r="C2010" s="4">
        <v>201003274</v>
      </c>
      <c r="D2010" s="4" t="s">
        <v>1500</v>
      </c>
      <c r="E2010" s="4" t="str">
        <f>"065102010"</f>
        <v>065102010</v>
      </c>
      <c r="F2010" s="10">
        <v>40302</v>
      </c>
      <c r="G2010" s="11">
        <v>350</v>
      </c>
      <c r="H2010" s="11">
        <v>0</v>
      </c>
      <c r="I2010" s="4"/>
      <c r="J2010" s="4"/>
      <c r="K2010" s="11">
        <v>0</v>
      </c>
      <c r="L2010" s="4"/>
      <c r="M2010" s="4"/>
      <c r="N2010" s="11">
        <v>350</v>
      </c>
      <c r="O2010" s="4" t="s">
        <v>56</v>
      </c>
      <c r="P2010" s="4" t="s">
        <v>57</v>
      </c>
      <c r="Q2010" s="11">
        <v>0</v>
      </c>
      <c r="R2010" s="4"/>
      <c r="S2010" s="12"/>
    </row>
    <row r="2011" spans="1:19" x14ac:dyDescent="0.25">
      <c r="A2011" s="9" t="s">
        <v>1117</v>
      </c>
      <c r="B2011" s="9" t="s">
        <v>1117</v>
      </c>
      <c r="C2011" s="4">
        <v>201003294</v>
      </c>
      <c r="D2011" s="4" t="s">
        <v>1145</v>
      </c>
      <c r="E2011" s="4" t="str">
        <f>"065362010"</f>
        <v>065362010</v>
      </c>
      <c r="F2011" s="10">
        <v>40304</v>
      </c>
      <c r="G2011" s="11">
        <v>350</v>
      </c>
      <c r="H2011" s="11">
        <v>0</v>
      </c>
      <c r="I2011" s="4"/>
      <c r="J2011" s="4"/>
      <c r="K2011" s="11">
        <v>0</v>
      </c>
      <c r="L2011" s="4"/>
      <c r="M2011" s="4"/>
      <c r="N2011" s="11">
        <v>350</v>
      </c>
      <c r="O2011" s="4" t="s">
        <v>56</v>
      </c>
      <c r="P2011" s="4" t="s">
        <v>57</v>
      </c>
      <c r="Q2011" s="11">
        <v>0</v>
      </c>
      <c r="R2011" s="4"/>
      <c r="S2011" s="12"/>
    </row>
    <row r="2012" spans="1:19" x14ac:dyDescent="0.25">
      <c r="A2012" s="9" t="s">
        <v>1117</v>
      </c>
      <c r="B2012" s="9" t="s">
        <v>1117</v>
      </c>
      <c r="C2012" s="4">
        <v>201003297</v>
      </c>
      <c r="D2012" s="4" t="s">
        <v>1145</v>
      </c>
      <c r="E2012" s="4" t="str">
        <f>"065342010"</f>
        <v>065342010</v>
      </c>
      <c r="F2012" s="10">
        <v>40304</v>
      </c>
      <c r="G2012" s="11">
        <v>350</v>
      </c>
      <c r="H2012" s="11">
        <v>0</v>
      </c>
      <c r="I2012" s="4"/>
      <c r="J2012" s="4"/>
      <c r="K2012" s="11">
        <v>0</v>
      </c>
      <c r="L2012" s="4"/>
      <c r="M2012" s="4"/>
      <c r="N2012" s="11">
        <v>350</v>
      </c>
      <c r="O2012" s="4" t="s">
        <v>56</v>
      </c>
      <c r="P2012" s="4" t="s">
        <v>57</v>
      </c>
      <c r="Q2012" s="11">
        <v>0</v>
      </c>
      <c r="R2012" s="4"/>
      <c r="S2012" s="12"/>
    </row>
    <row r="2013" spans="1:19" x14ac:dyDescent="0.25">
      <c r="A2013" s="9" t="s">
        <v>1117</v>
      </c>
      <c r="B2013" s="9" t="s">
        <v>291</v>
      </c>
      <c r="C2013" s="4">
        <v>201003308</v>
      </c>
      <c r="D2013" s="4" t="s">
        <v>1181</v>
      </c>
      <c r="E2013" s="4" t="str">
        <f>"065442010"</f>
        <v>065442010</v>
      </c>
      <c r="F2013" s="10">
        <v>40304</v>
      </c>
      <c r="G2013" s="11">
        <v>369.5</v>
      </c>
      <c r="H2013" s="11">
        <v>0</v>
      </c>
      <c r="I2013" s="4"/>
      <c r="J2013" s="4"/>
      <c r="K2013" s="11">
        <v>0</v>
      </c>
      <c r="L2013" s="4"/>
      <c r="M2013" s="4"/>
      <c r="N2013" s="11">
        <v>369.5</v>
      </c>
      <c r="O2013" s="4" t="s">
        <v>56</v>
      </c>
      <c r="P2013" s="4" t="s">
        <v>57</v>
      </c>
      <c r="Q2013" s="11">
        <v>0</v>
      </c>
      <c r="R2013" s="4"/>
      <c r="S2013" s="12"/>
    </row>
    <row r="2014" spans="1:19" x14ac:dyDescent="0.25">
      <c r="A2014" s="9" t="s">
        <v>1117</v>
      </c>
      <c r="B2014" s="9" t="s">
        <v>291</v>
      </c>
      <c r="C2014" s="4">
        <v>201003318</v>
      </c>
      <c r="D2014" s="4" t="s">
        <v>1501</v>
      </c>
      <c r="E2014" s="4" t="str">
        <f>"066422010"</f>
        <v>066422010</v>
      </c>
      <c r="F2014" s="10">
        <v>40308</v>
      </c>
      <c r="G2014" s="11">
        <v>18000</v>
      </c>
      <c r="H2014" s="11">
        <v>18000</v>
      </c>
      <c r="I2014" s="4" t="s">
        <v>38</v>
      </c>
      <c r="J2014" s="4" t="s">
        <v>39</v>
      </c>
      <c r="K2014" s="11">
        <v>0</v>
      </c>
      <c r="L2014" s="4"/>
      <c r="M2014" s="4"/>
      <c r="N2014" s="11">
        <v>0</v>
      </c>
      <c r="O2014" s="4"/>
      <c r="P2014" s="4"/>
      <c r="Q2014" s="11">
        <v>0</v>
      </c>
      <c r="R2014" s="4"/>
      <c r="S2014" s="12"/>
    </row>
    <row r="2015" spans="1:19" x14ac:dyDescent="0.25">
      <c r="A2015" s="9" t="s">
        <v>1117</v>
      </c>
      <c r="B2015" s="9" t="s">
        <v>291</v>
      </c>
      <c r="C2015" s="4">
        <v>201003319</v>
      </c>
      <c r="D2015" s="4" t="s">
        <v>1502</v>
      </c>
      <c r="E2015" s="4" t="str">
        <f>"065562010"</f>
        <v>065562010</v>
      </c>
      <c r="F2015" s="10">
        <v>40304</v>
      </c>
      <c r="G2015" s="11">
        <v>350</v>
      </c>
      <c r="H2015" s="11">
        <v>0</v>
      </c>
      <c r="I2015" s="4"/>
      <c r="J2015" s="4"/>
      <c r="K2015" s="11">
        <v>0</v>
      </c>
      <c r="L2015" s="4"/>
      <c r="M2015" s="4"/>
      <c r="N2015" s="11">
        <v>350</v>
      </c>
      <c r="O2015" s="4" t="s">
        <v>56</v>
      </c>
      <c r="P2015" s="4" t="s">
        <v>57</v>
      </c>
      <c r="Q2015" s="11">
        <v>0</v>
      </c>
      <c r="R2015" s="4"/>
      <c r="S2015" s="12"/>
    </row>
    <row r="2016" spans="1:19" x14ac:dyDescent="0.25">
      <c r="A2016" s="9" t="s">
        <v>1117</v>
      </c>
      <c r="B2016" s="9" t="s">
        <v>291</v>
      </c>
      <c r="C2016" s="4">
        <v>201003320</v>
      </c>
      <c r="D2016" s="4" t="s">
        <v>1181</v>
      </c>
      <c r="E2016" s="4" t="str">
        <f>"066282010"</f>
        <v>066282010</v>
      </c>
      <c r="F2016" s="10">
        <v>40308</v>
      </c>
      <c r="G2016" s="11">
        <v>23.5</v>
      </c>
      <c r="H2016" s="11">
        <v>0</v>
      </c>
      <c r="I2016" s="4"/>
      <c r="J2016" s="4"/>
      <c r="K2016" s="11">
        <v>0</v>
      </c>
      <c r="L2016" s="4"/>
      <c r="M2016" s="4"/>
      <c r="N2016" s="11">
        <v>23.5</v>
      </c>
      <c r="O2016" s="4" t="s">
        <v>56</v>
      </c>
      <c r="P2016" s="4" t="s">
        <v>57</v>
      </c>
      <c r="Q2016" s="11">
        <v>0</v>
      </c>
      <c r="R2016" s="4"/>
      <c r="S2016" s="12"/>
    </row>
    <row r="2017" spans="1:19" x14ac:dyDescent="0.25">
      <c r="A2017" s="9" t="s">
        <v>1117</v>
      </c>
      <c r="B2017" s="9" t="s">
        <v>291</v>
      </c>
      <c r="C2017" s="4">
        <v>201003321</v>
      </c>
      <c r="D2017" s="4" t="s">
        <v>1503</v>
      </c>
      <c r="E2017" s="4" t="str">
        <f>"065942010"</f>
        <v>065942010</v>
      </c>
      <c r="F2017" s="10">
        <v>40308</v>
      </c>
      <c r="G2017" s="11">
        <v>7</v>
      </c>
      <c r="H2017" s="11">
        <v>0</v>
      </c>
      <c r="I2017" s="4"/>
      <c r="J2017" s="4"/>
      <c r="K2017" s="11">
        <v>0</v>
      </c>
      <c r="L2017" s="4"/>
      <c r="M2017" s="4"/>
      <c r="N2017" s="11">
        <v>7</v>
      </c>
      <c r="O2017" s="4" t="s">
        <v>56</v>
      </c>
      <c r="P2017" s="4" t="s">
        <v>57</v>
      </c>
      <c r="Q2017" s="11">
        <v>0</v>
      </c>
      <c r="R2017" s="4"/>
      <c r="S2017" s="12"/>
    </row>
    <row r="2018" spans="1:19" x14ac:dyDescent="0.25">
      <c r="A2018" s="9" t="s">
        <v>1117</v>
      </c>
      <c r="B2018" s="9" t="s">
        <v>291</v>
      </c>
      <c r="C2018" s="4">
        <v>201003322</v>
      </c>
      <c r="D2018" s="4" t="s">
        <v>1504</v>
      </c>
      <c r="E2018" s="4" t="str">
        <f>"065922010"</f>
        <v>065922010</v>
      </c>
      <c r="F2018" s="10">
        <v>40308</v>
      </c>
      <c r="G2018" s="11">
        <v>7.2</v>
      </c>
      <c r="H2018" s="11">
        <v>0</v>
      </c>
      <c r="I2018" s="4"/>
      <c r="J2018" s="4"/>
      <c r="K2018" s="11">
        <v>0</v>
      </c>
      <c r="L2018" s="4"/>
      <c r="M2018" s="4"/>
      <c r="N2018" s="11">
        <v>7.2</v>
      </c>
      <c r="O2018" s="4" t="s">
        <v>56</v>
      </c>
      <c r="P2018" s="4" t="s">
        <v>57</v>
      </c>
      <c r="Q2018" s="11">
        <v>0</v>
      </c>
      <c r="R2018" s="4"/>
      <c r="S2018" s="12"/>
    </row>
    <row r="2019" spans="1:19" x14ac:dyDescent="0.25">
      <c r="A2019" s="9" t="s">
        <v>1117</v>
      </c>
      <c r="B2019" s="9" t="s">
        <v>291</v>
      </c>
      <c r="C2019" s="4">
        <v>201003327</v>
      </c>
      <c r="D2019" s="4" t="s">
        <v>1505</v>
      </c>
      <c r="E2019" s="4" t="str">
        <f>"065962010"</f>
        <v>065962010</v>
      </c>
      <c r="F2019" s="10">
        <v>40308</v>
      </c>
      <c r="G2019" s="11">
        <v>350</v>
      </c>
      <c r="H2019" s="11">
        <v>0</v>
      </c>
      <c r="I2019" s="4"/>
      <c r="J2019" s="4"/>
      <c r="K2019" s="11">
        <v>0</v>
      </c>
      <c r="L2019" s="4"/>
      <c r="M2019" s="4"/>
      <c r="N2019" s="11">
        <v>350</v>
      </c>
      <c r="O2019" s="4" t="s">
        <v>56</v>
      </c>
      <c r="P2019" s="4" t="s">
        <v>57</v>
      </c>
      <c r="Q2019" s="11">
        <v>0</v>
      </c>
      <c r="R2019" s="4"/>
      <c r="S2019" s="12"/>
    </row>
    <row r="2020" spans="1:19" x14ac:dyDescent="0.25">
      <c r="A2020" s="9" t="s">
        <v>1117</v>
      </c>
      <c r="B2020" s="9" t="s">
        <v>291</v>
      </c>
      <c r="C2020" s="4">
        <v>201003335</v>
      </c>
      <c r="D2020" s="4" t="s">
        <v>1506</v>
      </c>
      <c r="E2020" s="4" t="str">
        <f>"087322010"</f>
        <v>087322010</v>
      </c>
      <c r="F2020" s="10">
        <v>40358</v>
      </c>
      <c r="G2020" s="11">
        <v>19.809999999999999</v>
      </c>
      <c r="H2020" s="11">
        <v>0</v>
      </c>
      <c r="I2020" s="4"/>
      <c r="J2020" s="4"/>
      <c r="K2020" s="11">
        <v>0</v>
      </c>
      <c r="L2020" s="4"/>
      <c r="M2020" s="4"/>
      <c r="N2020" s="11">
        <v>19.809999999999999</v>
      </c>
      <c r="O2020" s="4" t="s">
        <v>56</v>
      </c>
      <c r="P2020" s="4" t="s">
        <v>57</v>
      </c>
      <c r="Q2020" s="11">
        <v>0</v>
      </c>
      <c r="R2020" s="4"/>
      <c r="S2020" s="12"/>
    </row>
    <row r="2021" spans="1:19" x14ac:dyDescent="0.25">
      <c r="A2021" s="9" t="s">
        <v>1117</v>
      </c>
      <c r="B2021" s="9" t="s">
        <v>291</v>
      </c>
      <c r="C2021" s="4">
        <v>201003338</v>
      </c>
      <c r="D2021" s="4" t="s">
        <v>1488</v>
      </c>
      <c r="E2021" s="4" t="str">
        <f>"066382010"</f>
        <v>066382010</v>
      </c>
      <c r="F2021" s="10">
        <v>40308</v>
      </c>
      <c r="G2021" s="11">
        <v>61.6</v>
      </c>
      <c r="H2021" s="11">
        <v>0</v>
      </c>
      <c r="I2021" s="4"/>
      <c r="J2021" s="4"/>
      <c r="K2021" s="11">
        <v>0</v>
      </c>
      <c r="L2021" s="4"/>
      <c r="M2021" s="4"/>
      <c r="N2021" s="11">
        <v>61.6</v>
      </c>
      <c r="O2021" s="4" t="s">
        <v>56</v>
      </c>
      <c r="P2021" s="4" t="s">
        <v>57</v>
      </c>
      <c r="Q2021" s="11">
        <v>0</v>
      </c>
      <c r="R2021" s="4"/>
      <c r="S2021" s="12"/>
    </row>
    <row r="2022" spans="1:19" x14ac:dyDescent="0.25">
      <c r="A2022" s="9" t="s">
        <v>1117</v>
      </c>
      <c r="B2022" s="9" t="s">
        <v>291</v>
      </c>
      <c r="C2022" s="4">
        <v>201003339</v>
      </c>
      <c r="D2022" s="4" t="s">
        <v>1435</v>
      </c>
      <c r="E2022" s="4" t="str">
        <f>"066342010"</f>
        <v>066342010</v>
      </c>
      <c r="F2022" s="10">
        <v>40308</v>
      </c>
      <c r="G2022" s="11">
        <v>350</v>
      </c>
      <c r="H2022" s="11">
        <v>0</v>
      </c>
      <c r="I2022" s="4"/>
      <c r="J2022" s="4"/>
      <c r="K2022" s="11">
        <v>0</v>
      </c>
      <c r="L2022" s="4"/>
      <c r="M2022" s="4"/>
      <c r="N2022" s="11">
        <v>350</v>
      </c>
      <c r="O2022" s="4" t="s">
        <v>56</v>
      </c>
      <c r="P2022" s="4" t="s">
        <v>57</v>
      </c>
      <c r="Q2022" s="11">
        <v>0</v>
      </c>
      <c r="R2022" s="4"/>
      <c r="S2022" s="12"/>
    </row>
    <row r="2023" spans="1:19" x14ac:dyDescent="0.25">
      <c r="A2023" s="9" t="s">
        <v>1117</v>
      </c>
      <c r="B2023" s="9" t="s">
        <v>291</v>
      </c>
      <c r="C2023" s="4">
        <v>201003351</v>
      </c>
      <c r="D2023" s="4" t="s">
        <v>1319</v>
      </c>
      <c r="E2023" s="4" t="str">
        <f>"066802010"</f>
        <v>066802010</v>
      </c>
      <c r="F2023" s="10">
        <v>40310</v>
      </c>
      <c r="G2023" s="11">
        <v>350</v>
      </c>
      <c r="H2023" s="11">
        <v>0</v>
      </c>
      <c r="I2023" s="4"/>
      <c r="J2023" s="4"/>
      <c r="K2023" s="11">
        <v>0</v>
      </c>
      <c r="L2023" s="4"/>
      <c r="M2023" s="4"/>
      <c r="N2023" s="11">
        <v>350</v>
      </c>
      <c r="O2023" s="4" t="s">
        <v>56</v>
      </c>
      <c r="P2023" s="4" t="s">
        <v>57</v>
      </c>
      <c r="Q2023" s="11">
        <v>0</v>
      </c>
      <c r="R2023" s="4"/>
      <c r="S2023" s="12"/>
    </row>
    <row r="2024" spans="1:19" x14ac:dyDescent="0.25">
      <c r="A2024" s="9" t="s">
        <v>1117</v>
      </c>
      <c r="B2024" s="9" t="s">
        <v>291</v>
      </c>
      <c r="C2024" s="4">
        <v>201003354</v>
      </c>
      <c r="D2024" s="4" t="s">
        <v>1488</v>
      </c>
      <c r="E2024" s="4" t="str">
        <f>"066482010"</f>
        <v>066482010</v>
      </c>
      <c r="F2024" s="10">
        <v>40308</v>
      </c>
      <c r="G2024" s="11">
        <v>79.8</v>
      </c>
      <c r="H2024" s="11">
        <v>0</v>
      </c>
      <c r="I2024" s="4"/>
      <c r="J2024" s="4"/>
      <c r="K2024" s="11">
        <v>0</v>
      </c>
      <c r="L2024" s="4"/>
      <c r="M2024" s="4"/>
      <c r="N2024" s="11">
        <v>79.8</v>
      </c>
      <c r="O2024" s="4" t="s">
        <v>56</v>
      </c>
      <c r="P2024" s="4" t="s">
        <v>57</v>
      </c>
      <c r="Q2024" s="11">
        <v>0</v>
      </c>
      <c r="R2024" s="4"/>
      <c r="S2024" s="12"/>
    </row>
    <row r="2025" spans="1:19" x14ac:dyDescent="0.25">
      <c r="A2025" s="9" t="s">
        <v>1117</v>
      </c>
      <c r="B2025" s="9" t="s">
        <v>291</v>
      </c>
      <c r="C2025" s="4">
        <v>201003357</v>
      </c>
      <c r="D2025" s="4" t="s">
        <v>1165</v>
      </c>
      <c r="E2025" s="4" t="str">
        <f>"068122010"</f>
        <v>068122010</v>
      </c>
      <c r="F2025" s="10">
        <v>40316</v>
      </c>
      <c r="G2025" s="11">
        <v>350</v>
      </c>
      <c r="H2025" s="11">
        <v>0</v>
      </c>
      <c r="I2025" s="4"/>
      <c r="J2025" s="4"/>
      <c r="K2025" s="11">
        <v>0</v>
      </c>
      <c r="L2025" s="4"/>
      <c r="M2025" s="4"/>
      <c r="N2025" s="11">
        <v>350</v>
      </c>
      <c r="O2025" s="4" t="s">
        <v>56</v>
      </c>
      <c r="P2025" s="4" t="s">
        <v>57</v>
      </c>
      <c r="Q2025" s="11">
        <v>0</v>
      </c>
      <c r="R2025" s="4"/>
      <c r="S2025" s="12"/>
    </row>
    <row r="2026" spans="1:19" x14ac:dyDescent="0.25">
      <c r="A2026" s="9" t="s">
        <v>1117</v>
      </c>
      <c r="B2026" s="9" t="s">
        <v>291</v>
      </c>
      <c r="C2026" s="4">
        <v>201003358</v>
      </c>
      <c r="D2026" s="4" t="s">
        <v>1165</v>
      </c>
      <c r="E2026" s="4" t="str">
        <f>"068242010"</f>
        <v>068242010</v>
      </c>
      <c r="F2026" s="10">
        <v>40316</v>
      </c>
      <c r="G2026" s="11">
        <v>350</v>
      </c>
      <c r="H2026" s="11">
        <v>0</v>
      </c>
      <c r="I2026" s="4"/>
      <c r="J2026" s="4"/>
      <c r="K2026" s="11">
        <v>0</v>
      </c>
      <c r="L2026" s="4"/>
      <c r="M2026" s="4"/>
      <c r="N2026" s="11">
        <v>350</v>
      </c>
      <c r="O2026" s="4" t="s">
        <v>56</v>
      </c>
      <c r="P2026" s="4" t="s">
        <v>57</v>
      </c>
      <c r="Q2026" s="11">
        <v>0</v>
      </c>
      <c r="R2026" s="4"/>
      <c r="S2026" s="12"/>
    </row>
    <row r="2027" spans="1:19" x14ac:dyDescent="0.25">
      <c r="A2027" s="9" t="s">
        <v>1117</v>
      </c>
      <c r="B2027" s="9" t="s">
        <v>291</v>
      </c>
      <c r="C2027" s="4">
        <v>201003368</v>
      </c>
      <c r="D2027" s="4" t="s">
        <v>1484</v>
      </c>
      <c r="E2027" s="4" t="str">
        <f>"069442010"</f>
        <v>069442010</v>
      </c>
      <c r="F2027" s="10">
        <v>40316</v>
      </c>
      <c r="G2027" s="11">
        <v>350</v>
      </c>
      <c r="H2027" s="11">
        <v>0</v>
      </c>
      <c r="I2027" s="4"/>
      <c r="J2027" s="4"/>
      <c r="K2027" s="11">
        <v>0</v>
      </c>
      <c r="L2027" s="4"/>
      <c r="M2027" s="4"/>
      <c r="N2027" s="11">
        <v>350</v>
      </c>
      <c r="O2027" s="4" t="s">
        <v>56</v>
      </c>
      <c r="P2027" s="4" t="s">
        <v>57</v>
      </c>
      <c r="Q2027" s="11">
        <v>0</v>
      </c>
      <c r="R2027" s="4"/>
      <c r="S2027" s="12"/>
    </row>
    <row r="2028" spans="1:19" x14ac:dyDescent="0.25">
      <c r="A2028" s="9" t="s">
        <v>1117</v>
      </c>
      <c r="B2028" s="9" t="s">
        <v>291</v>
      </c>
      <c r="C2028" s="4">
        <v>201003370</v>
      </c>
      <c r="D2028" s="4"/>
      <c r="E2028" s="4" t="str">
        <f>"067682010"</f>
        <v>067682010</v>
      </c>
      <c r="F2028" s="10">
        <v>40311</v>
      </c>
      <c r="G2028" s="11">
        <v>350</v>
      </c>
      <c r="H2028" s="11">
        <v>0</v>
      </c>
      <c r="I2028" s="4"/>
      <c r="J2028" s="4"/>
      <c r="K2028" s="11">
        <v>0</v>
      </c>
      <c r="L2028" s="4"/>
      <c r="M2028" s="4"/>
      <c r="N2028" s="11">
        <v>350</v>
      </c>
      <c r="O2028" s="4" t="s">
        <v>56</v>
      </c>
      <c r="P2028" s="4" t="s">
        <v>57</v>
      </c>
      <c r="Q2028" s="11">
        <v>0</v>
      </c>
      <c r="R2028" s="4"/>
      <c r="S2028" s="12"/>
    </row>
    <row r="2029" spans="1:19" x14ac:dyDescent="0.25">
      <c r="A2029" s="9" t="s">
        <v>1117</v>
      </c>
      <c r="B2029" s="9" t="s">
        <v>291</v>
      </c>
      <c r="C2029" s="4">
        <v>201003374</v>
      </c>
      <c r="D2029" s="4" t="s">
        <v>1494</v>
      </c>
      <c r="E2029" s="4" t="str">
        <f>"069042010"</f>
        <v>069042010</v>
      </c>
      <c r="F2029" s="10">
        <v>40316</v>
      </c>
      <c r="G2029" s="11">
        <v>350</v>
      </c>
      <c r="H2029" s="11">
        <v>0</v>
      </c>
      <c r="I2029" s="4"/>
      <c r="J2029" s="4"/>
      <c r="K2029" s="11">
        <v>0</v>
      </c>
      <c r="L2029" s="4"/>
      <c r="M2029" s="4"/>
      <c r="N2029" s="11">
        <v>350</v>
      </c>
      <c r="O2029" s="4" t="s">
        <v>56</v>
      </c>
      <c r="P2029" s="4" t="s">
        <v>57</v>
      </c>
      <c r="Q2029" s="11">
        <v>0</v>
      </c>
      <c r="R2029" s="4"/>
      <c r="S2029" s="12"/>
    </row>
    <row r="2030" spans="1:19" x14ac:dyDescent="0.25">
      <c r="A2030" s="9" t="s">
        <v>1117</v>
      </c>
      <c r="B2030" s="9" t="s">
        <v>291</v>
      </c>
      <c r="C2030" s="4">
        <v>201003376</v>
      </c>
      <c r="D2030" s="4" t="s">
        <v>1507</v>
      </c>
      <c r="E2030" s="4" t="str">
        <f>"067862010"</f>
        <v>067862010</v>
      </c>
      <c r="F2030" s="10">
        <v>40310</v>
      </c>
      <c r="G2030" s="11">
        <v>150</v>
      </c>
      <c r="H2030" s="11">
        <v>0</v>
      </c>
      <c r="I2030" s="4"/>
      <c r="J2030" s="4"/>
      <c r="K2030" s="11">
        <v>0</v>
      </c>
      <c r="L2030" s="4"/>
      <c r="M2030" s="4"/>
      <c r="N2030" s="11">
        <v>150</v>
      </c>
      <c r="O2030" s="4" t="s">
        <v>56</v>
      </c>
      <c r="P2030" s="4" t="s">
        <v>57</v>
      </c>
      <c r="Q2030" s="11">
        <v>0</v>
      </c>
      <c r="R2030" s="4"/>
      <c r="S2030" s="12"/>
    </row>
    <row r="2031" spans="1:19" x14ac:dyDescent="0.25">
      <c r="A2031" s="9" t="s">
        <v>1117</v>
      </c>
      <c r="B2031" s="9" t="s">
        <v>291</v>
      </c>
      <c r="C2031" s="4">
        <v>201003379</v>
      </c>
      <c r="D2031" s="4" t="s">
        <v>1508</v>
      </c>
      <c r="E2031" s="4" t="str">
        <f>"091892010"</f>
        <v>091892010</v>
      </c>
      <c r="F2031" s="10">
        <v>40372</v>
      </c>
      <c r="G2031" s="11">
        <v>50.7</v>
      </c>
      <c r="H2031" s="11">
        <v>0</v>
      </c>
      <c r="I2031" s="4"/>
      <c r="J2031" s="4"/>
      <c r="K2031" s="11">
        <v>0</v>
      </c>
      <c r="L2031" s="4"/>
      <c r="M2031" s="4"/>
      <c r="N2031" s="11">
        <v>50.7</v>
      </c>
      <c r="O2031" s="4" t="s">
        <v>56</v>
      </c>
      <c r="P2031" s="4" t="s">
        <v>57</v>
      </c>
      <c r="Q2031" s="11">
        <v>0</v>
      </c>
      <c r="R2031" s="4"/>
      <c r="S2031" s="12"/>
    </row>
    <row r="2032" spans="1:19" x14ac:dyDescent="0.25">
      <c r="A2032" s="9" t="s">
        <v>1117</v>
      </c>
      <c r="B2032" s="9" t="s">
        <v>291</v>
      </c>
      <c r="C2032" s="4">
        <v>201003380</v>
      </c>
      <c r="D2032" s="4" t="s">
        <v>1509</v>
      </c>
      <c r="E2032" s="4" t="str">
        <f>"066922010"</f>
        <v>066922010</v>
      </c>
      <c r="F2032" s="10">
        <v>40310</v>
      </c>
      <c r="G2032" s="11">
        <v>350</v>
      </c>
      <c r="H2032" s="11">
        <v>0</v>
      </c>
      <c r="I2032" s="4"/>
      <c r="J2032" s="4"/>
      <c r="K2032" s="11">
        <v>0</v>
      </c>
      <c r="L2032" s="4"/>
      <c r="M2032" s="4"/>
      <c r="N2032" s="11">
        <v>350</v>
      </c>
      <c r="O2032" s="4" t="s">
        <v>56</v>
      </c>
      <c r="P2032" s="4" t="s">
        <v>57</v>
      </c>
      <c r="Q2032" s="11">
        <v>0</v>
      </c>
      <c r="R2032" s="4"/>
      <c r="S2032" s="12"/>
    </row>
    <row r="2033" spans="1:19" x14ac:dyDescent="0.25">
      <c r="A2033" s="9" t="s">
        <v>1117</v>
      </c>
      <c r="B2033" s="9" t="s">
        <v>291</v>
      </c>
      <c r="C2033" s="4">
        <v>201003384</v>
      </c>
      <c r="D2033" s="4" t="s">
        <v>1510</v>
      </c>
      <c r="E2033" s="4" t="str">
        <f>"066942010"</f>
        <v>066942010</v>
      </c>
      <c r="F2033" s="10">
        <v>40310</v>
      </c>
      <c r="G2033" s="11">
        <v>363.5</v>
      </c>
      <c r="H2033" s="11">
        <v>0</v>
      </c>
      <c r="I2033" s="4"/>
      <c r="J2033" s="4"/>
      <c r="K2033" s="11">
        <v>0</v>
      </c>
      <c r="L2033" s="4"/>
      <c r="M2033" s="4"/>
      <c r="N2033" s="11">
        <v>363.5</v>
      </c>
      <c r="O2033" s="4" t="s">
        <v>56</v>
      </c>
      <c r="P2033" s="4" t="s">
        <v>57</v>
      </c>
      <c r="Q2033" s="11">
        <v>0</v>
      </c>
      <c r="R2033" s="4"/>
      <c r="S2033" s="12"/>
    </row>
    <row r="2034" spans="1:19" x14ac:dyDescent="0.25">
      <c r="A2034" s="9" t="s">
        <v>1117</v>
      </c>
      <c r="B2034" s="9" t="s">
        <v>291</v>
      </c>
      <c r="C2034" s="4">
        <v>201003387</v>
      </c>
      <c r="D2034" s="4" t="s">
        <v>1257</v>
      </c>
      <c r="E2034" s="4" t="str">
        <f>"067082010"</f>
        <v>067082010</v>
      </c>
      <c r="F2034" s="10">
        <v>40310</v>
      </c>
      <c r="G2034" s="11">
        <v>350</v>
      </c>
      <c r="H2034" s="11">
        <v>0</v>
      </c>
      <c r="I2034" s="4"/>
      <c r="J2034" s="4"/>
      <c r="K2034" s="11">
        <v>0</v>
      </c>
      <c r="L2034" s="4"/>
      <c r="M2034" s="4"/>
      <c r="N2034" s="11">
        <v>350</v>
      </c>
      <c r="O2034" s="4" t="s">
        <v>56</v>
      </c>
      <c r="P2034" s="4" t="s">
        <v>57</v>
      </c>
      <c r="Q2034" s="11">
        <v>0</v>
      </c>
      <c r="R2034" s="4"/>
      <c r="S2034" s="12"/>
    </row>
    <row r="2035" spans="1:19" x14ac:dyDescent="0.25">
      <c r="A2035" s="9" t="s">
        <v>1117</v>
      </c>
      <c r="B2035" s="9" t="s">
        <v>291</v>
      </c>
      <c r="C2035" s="4">
        <v>201003388</v>
      </c>
      <c r="D2035" s="4" t="s">
        <v>1511</v>
      </c>
      <c r="E2035" s="4" t="str">
        <f>"066982010"</f>
        <v>066982010</v>
      </c>
      <c r="F2035" s="10">
        <v>40310</v>
      </c>
      <c r="G2035" s="11">
        <v>368.63</v>
      </c>
      <c r="H2035" s="11">
        <v>0</v>
      </c>
      <c r="I2035" s="4"/>
      <c r="J2035" s="4"/>
      <c r="K2035" s="11">
        <v>0</v>
      </c>
      <c r="L2035" s="4"/>
      <c r="M2035" s="4"/>
      <c r="N2035" s="11">
        <v>368.63</v>
      </c>
      <c r="O2035" s="4" t="s">
        <v>56</v>
      </c>
      <c r="P2035" s="4" t="s">
        <v>57</v>
      </c>
      <c r="Q2035" s="11">
        <v>0</v>
      </c>
      <c r="R2035" s="4"/>
      <c r="S2035" s="12"/>
    </row>
    <row r="2036" spans="1:19" x14ac:dyDescent="0.25">
      <c r="A2036" s="9" t="s">
        <v>1117</v>
      </c>
      <c r="B2036" s="9" t="s">
        <v>291</v>
      </c>
      <c r="C2036" s="4">
        <v>201003389</v>
      </c>
      <c r="D2036" s="4" t="s">
        <v>1264</v>
      </c>
      <c r="E2036" s="4" t="str">
        <f>"067102010"</f>
        <v>067102010</v>
      </c>
      <c r="F2036" s="10">
        <v>40311</v>
      </c>
      <c r="G2036" s="11">
        <v>380</v>
      </c>
      <c r="H2036" s="11">
        <v>0</v>
      </c>
      <c r="I2036" s="4"/>
      <c r="J2036" s="4"/>
      <c r="K2036" s="11">
        <v>0</v>
      </c>
      <c r="L2036" s="4"/>
      <c r="M2036" s="4"/>
      <c r="N2036" s="11">
        <v>380</v>
      </c>
      <c r="O2036" s="4" t="s">
        <v>56</v>
      </c>
      <c r="P2036" s="4" t="s">
        <v>57</v>
      </c>
      <c r="Q2036" s="11">
        <v>0</v>
      </c>
      <c r="R2036" s="4"/>
      <c r="S2036" s="12"/>
    </row>
    <row r="2037" spans="1:19" x14ac:dyDescent="0.25">
      <c r="A2037" s="9" t="s">
        <v>1117</v>
      </c>
      <c r="B2037" s="9" t="s">
        <v>291</v>
      </c>
      <c r="C2037" s="4">
        <v>201003390</v>
      </c>
      <c r="D2037" s="4" t="s">
        <v>1510</v>
      </c>
      <c r="E2037" s="4" t="str">
        <f>"067922010"</f>
        <v>067922010</v>
      </c>
      <c r="F2037" s="10">
        <v>40310</v>
      </c>
      <c r="G2037" s="11">
        <v>350</v>
      </c>
      <c r="H2037" s="11">
        <v>0</v>
      </c>
      <c r="I2037" s="4"/>
      <c r="J2037" s="4"/>
      <c r="K2037" s="11">
        <v>0</v>
      </c>
      <c r="L2037" s="4"/>
      <c r="M2037" s="4"/>
      <c r="N2037" s="11">
        <v>350</v>
      </c>
      <c r="O2037" s="4" t="s">
        <v>56</v>
      </c>
      <c r="P2037" s="4" t="s">
        <v>57</v>
      </c>
      <c r="Q2037" s="11">
        <v>0</v>
      </c>
      <c r="R2037" s="4"/>
      <c r="S2037" s="12"/>
    </row>
    <row r="2038" spans="1:19" x14ac:dyDescent="0.25">
      <c r="A2038" s="9" t="s">
        <v>1117</v>
      </c>
      <c r="B2038" s="9" t="s">
        <v>291</v>
      </c>
      <c r="C2038" s="4">
        <v>201003403</v>
      </c>
      <c r="D2038" s="4" t="s">
        <v>1503</v>
      </c>
      <c r="E2038" s="4" t="str">
        <f>"067222010"</f>
        <v>067222010</v>
      </c>
      <c r="F2038" s="10">
        <v>40311</v>
      </c>
      <c r="G2038" s="11">
        <v>7</v>
      </c>
      <c r="H2038" s="11">
        <v>0</v>
      </c>
      <c r="I2038" s="4"/>
      <c r="J2038" s="4"/>
      <c r="K2038" s="11">
        <v>0</v>
      </c>
      <c r="L2038" s="4"/>
      <c r="M2038" s="4"/>
      <c r="N2038" s="11">
        <v>7</v>
      </c>
      <c r="O2038" s="4" t="s">
        <v>56</v>
      </c>
      <c r="P2038" s="4" t="s">
        <v>57</v>
      </c>
      <c r="Q2038" s="11">
        <v>0</v>
      </c>
      <c r="R2038" s="4"/>
      <c r="S2038" s="12"/>
    </row>
    <row r="2039" spans="1:19" x14ac:dyDescent="0.25">
      <c r="A2039" s="9" t="s">
        <v>1117</v>
      </c>
      <c r="B2039" s="9" t="s">
        <v>291</v>
      </c>
      <c r="C2039" s="4">
        <v>201003406</v>
      </c>
      <c r="D2039" s="4" t="s">
        <v>1197</v>
      </c>
      <c r="E2039" s="4" t="str">
        <f>"067242010"</f>
        <v>067242010</v>
      </c>
      <c r="F2039" s="10">
        <v>40311</v>
      </c>
      <c r="G2039" s="11">
        <v>350</v>
      </c>
      <c r="H2039" s="11">
        <v>0</v>
      </c>
      <c r="I2039" s="4"/>
      <c r="J2039" s="4"/>
      <c r="K2039" s="11">
        <v>0</v>
      </c>
      <c r="L2039" s="4"/>
      <c r="M2039" s="4"/>
      <c r="N2039" s="11">
        <v>350</v>
      </c>
      <c r="O2039" s="4" t="s">
        <v>56</v>
      </c>
      <c r="P2039" s="4" t="s">
        <v>57</v>
      </c>
      <c r="Q2039" s="11">
        <v>0</v>
      </c>
      <c r="R2039" s="4"/>
      <c r="S2039" s="12"/>
    </row>
    <row r="2040" spans="1:19" x14ac:dyDescent="0.25">
      <c r="A2040" s="9" t="s">
        <v>1117</v>
      </c>
      <c r="B2040" s="9" t="s">
        <v>291</v>
      </c>
      <c r="C2040" s="4">
        <v>201003407</v>
      </c>
      <c r="D2040" s="4" t="s">
        <v>1512</v>
      </c>
      <c r="E2040" s="4" t="str">
        <f>"068142010"</f>
        <v>068142010</v>
      </c>
      <c r="F2040" s="10">
        <v>40316</v>
      </c>
      <c r="G2040" s="11">
        <v>282.67</v>
      </c>
      <c r="H2040" s="11">
        <v>0</v>
      </c>
      <c r="I2040" s="4"/>
      <c r="J2040" s="4"/>
      <c r="K2040" s="11">
        <v>0</v>
      </c>
      <c r="L2040" s="4"/>
      <c r="M2040" s="4"/>
      <c r="N2040" s="11">
        <v>282.67</v>
      </c>
      <c r="O2040" s="4" t="s">
        <v>56</v>
      </c>
      <c r="P2040" s="4" t="s">
        <v>57</v>
      </c>
      <c r="Q2040" s="11">
        <v>0</v>
      </c>
      <c r="R2040" s="4"/>
      <c r="S2040" s="12"/>
    </row>
    <row r="2041" spans="1:19" x14ac:dyDescent="0.25">
      <c r="A2041" s="9" t="s">
        <v>1117</v>
      </c>
      <c r="B2041" s="9" t="s">
        <v>291</v>
      </c>
      <c r="C2041" s="4">
        <v>201003411</v>
      </c>
      <c r="D2041" s="4" t="s">
        <v>1513</v>
      </c>
      <c r="E2041" s="4" t="str">
        <f>"067762010"</f>
        <v>067762010</v>
      </c>
      <c r="F2041" s="10">
        <v>40310</v>
      </c>
      <c r="G2041" s="11">
        <v>380</v>
      </c>
      <c r="H2041" s="11">
        <v>0</v>
      </c>
      <c r="I2041" s="4"/>
      <c r="J2041" s="4"/>
      <c r="K2041" s="11">
        <v>0</v>
      </c>
      <c r="L2041" s="4"/>
      <c r="M2041" s="4"/>
      <c r="N2041" s="11">
        <v>380</v>
      </c>
      <c r="O2041" s="4" t="s">
        <v>56</v>
      </c>
      <c r="P2041" s="4" t="s">
        <v>57</v>
      </c>
      <c r="Q2041" s="11">
        <v>0</v>
      </c>
      <c r="R2041" s="4"/>
      <c r="S2041" s="12"/>
    </row>
    <row r="2042" spans="1:19" x14ac:dyDescent="0.25">
      <c r="A2042" s="9" t="s">
        <v>1117</v>
      </c>
      <c r="B2042" s="9" t="s">
        <v>291</v>
      </c>
      <c r="C2042" s="4">
        <v>201003415</v>
      </c>
      <c r="D2042" s="4" t="s">
        <v>1514</v>
      </c>
      <c r="E2042" s="4" t="str">
        <f>"067742010"</f>
        <v>067742010</v>
      </c>
      <c r="F2042" s="10">
        <v>40310</v>
      </c>
      <c r="G2042" s="11">
        <v>350</v>
      </c>
      <c r="H2042" s="11">
        <v>0</v>
      </c>
      <c r="I2042" s="4"/>
      <c r="J2042" s="4"/>
      <c r="K2042" s="11">
        <v>0</v>
      </c>
      <c r="L2042" s="4"/>
      <c r="M2042" s="4"/>
      <c r="N2042" s="11">
        <v>350</v>
      </c>
      <c r="O2042" s="4" t="s">
        <v>56</v>
      </c>
      <c r="P2042" s="4" t="s">
        <v>57</v>
      </c>
      <c r="Q2042" s="11">
        <v>0</v>
      </c>
      <c r="R2042" s="4"/>
      <c r="S2042" s="12"/>
    </row>
    <row r="2043" spans="1:19" x14ac:dyDescent="0.25">
      <c r="A2043" s="9" t="s">
        <v>1117</v>
      </c>
      <c r="B2043" s="9" t="s">
        <v>291</v>
      </c>
      <c r="C2043" s="4">
        <v>201003416</v>
      </c>
      <c r="D2043" s="4" t="s">
        <v>1515</v>
      </c>
      <c r="E2043" s="4" t="str">
        <f>"067802010"</f>
        <v>067802010</v>
      </c>
      <c r="F2043" s="10">
        <v>40310</v>
      </c>
      <c r="G2043" s="11">
        <v>350</v>
      </c>
      <c r="H2043" s="11">
        <v>0</v>
      </c>
      <c r="I2043" s="4"/>
      <c r="J2043" s="4"/>
      <c r="K2043" s="11">
        <v>0</v>
      </c>
      <c r="L2043" s="4"/>
      <c r="M2043" s="4"/>
      <c r="N2043" s="11">
        <v>350</v>
      </c>
      <c r="O2043" s="4" t="s">
        <v>56</v>
      </c>
      <c r="P2043" s="4" t="s">
        <v>57</v>
      </c>
      <c r="Q2043" s="11">
        <v>0</v>
      </c>
      <c r="R2043" s="4"/>
      <c r="S2043" s="12"/>
    </row>
    <row r="2044" spans="1:19" x14ac:dyDescent="0.25">
      <c r="A2044" s="9" t="s">
        <v>1117</v>
      </c>
      <c r="B2044" s="9" t="s">
        <v>291</v>
      </c>
      <c r="C2044" s="4">
        <v>201003421</v>
      </c>
      <c r="D2044" s="4" t="s">
        <v>1516</v>
      </c>
      <c r="E2044" s="4" t="str">
        <f>"067822010"</f>
        <v>067822010</v>
      </c>
      <c r="F2044" s="10">
        <v>40310</v>
      </c>
      <c r="G2044" s="11">
        <v>350</v>
      </c>
      <c r="H2044" s="11">
        <v>0</v>
      </c>
      <c r="I2044" s="4"/>
      <c r="J2044" s="4"/>
      <c r="K2044" s="11">
        <v>0</v>
      </c>
      <c r="L2044" s="4"/>
      <c r="M2044" s="4"/>
      <c r="N2044" s="11">
        <v>350</v>
      </c>
      <c r="O2044" s="4" t="s">
        <v>56</v>
      </c>
      <c r="P2044" s="4" t="s">
        <v>57</v>
      </c>
      <c r="Q2044" s="11">
        <v>0</v>
      </c>
      <c r="R2044" s="4"/>
      <c r="S2044" s="12"/>
    </row>
    <row r="2045" spans="1:19" x14ac:dyDescent="0.25">
      <c r="A2045" s="9" t="s">
        <v>1117</v>
      </c>
      <c r="B2045" s="9" t="s">
        <v>291</v>
      </c>
      <c r="C2045" s="4">
        <v>201003425</v>
      </c>
      <c r="D2045" s="4" t="s">
        <v>1517</v>
      </c>
      <c r="E2045" s="4" t="str">
        <f>"068482010"</f>
        <v>068482010</v>
      </c>
      <c r="F2045" s="10">
        <v>40311</v>
      </c>
      <c r="G2045" s="11">
        <v>376</v>
      </c>
      <c r="H2045" s="11">
        <v>0</v>
      </c>
      <c r="I2045" s="4"/>
      <c r="J2045" s="4"/>
      <c r="K2045" s="11">
        <v>0</v>
      </c>
      <c r="L2045" s="4"/>
      <c r="M2045" s="4"/>
      <c r="N2045" s="11">
        <v>376</v>
      </c>
      <c r="O2045" s="4" t="s">
        <v>56</v>
      </c>
      <c r="P2045" s="4" t="s">
        <v>57</v>
      </c>
      <c r="Q2045" s="11">
        <v>0</v>
      </c>
      <c r="R2045" s="4"/>
      <c r="S2045" s="12"/>
    </row>
    <row r="2046" spans="1:19" x14ac:dyDescent="0.25">
      <c r="A2046" s="9" t="s">
        <v>1117</v>
      </c>
      <c r="B2046" s="9" t="s">
        <v>291</v>
      </c>
      <c r="C2046" s="4">
        <v>201003429</v>
      </c>
      <c r="D2046" s="4" t="s">
        <v>1518</v>
      </c>
      <c r="E2046" s="4" t="str">
        <f>"067982010"</f>
        <v>067982010</v>
      </c>
      <c r="F2046" s="10">
        <v>40310</v>
      </c>
      <c r="G2046" s="11">
        <v>350</v>
      </c>
      <c r="H2046" s="11">
        <v>0</v>
      </c>
      <c r="I2046" s="4"/>
      <c r="J2046" s="4"/>
      <c r="K2046" s="11">
        <v>0</v>
      </c>
      <c r="L2046" s="4"/>
      <c r="M2046" s="4"/>
      <c r="N2046" s="11">
        <v>350</v>
      </c>
      <c r="O2046" s="4" t="s">
        <v>56</v>
      </c>
      <c r="P2046" s="4" t="s">
        <v>57</v>
      </c>
      <c r="Q2046" s="11">
        <v>0</v>
      </c>
      <c r="R2046" s="4"/>
      <c r="S2046" s="12"/>
    </row>
    <row r="2047" spans="1:19" x14ac:dyDescent="0.25">
      <c r="A2047" s="9" t="s">
        <v>1117</v>
      </c>
      <c r="B2047" s="9" t="s">
        <v>291</v>
      </c>
      <c r="C2047" s="4">
        <v>201003430</v>
      </c>
      <c r="D2047" s="4" t="s">
        <v>1519</v>
      </c>
      <c r="E2047" s="4" t="str">
        <f>"068022010"</f>
        <v>068022010</v>
      </c>
      <c r="F2047" s="10">
        <v>40310</v>
      </c>
      <c r="G2047" s="11">
        <v>350</v>
      </c>
      <c r="H2047" s="11">
        <v>0</v>
      </c>
      <c r="I2047" s="4"/>
      <c r="J2047" s="4"/>
      <c r="K2047" s="11">
        <v>0</v>
      </c>
      <c r="L2047" s="4"/>
      <c r="M2047" s="4"/>
      <c r="N2047" s="11">
        <v>350</v>
      </c>
      <c r="O2047" s="4" t="s">
        <v>56</v>
      </c>
      <c r="P2047" s="4" t="s">
        <v>57</v>
      </c>
      <c r="Q2047" s="11">
        <v>0</v>
      </c>
      <c r="R2047" s="4"/>
      <c r="S2047" s="12"/>
    </row>
    <row r="2048" spans="1:19" x14ac:dyDescent="0.25">
      <c r="A2048" s="9" t="s">
        <v>1117</v>
      </c>
      <c r="B2048" s="9" t="s">
        <v>291</v>
      </c>
      <c r="C2048" s="4">
        <v>201003431</v>
      </c>
      <c r="D2048" s="4" t="s">
        <v>1520</v>
      </c>
      <c r="E2048" s="4" t="str">
        <f>"068082010"</f>
        <v>068082010</v>
      </c>
      <c r="F2048" s="10">
        <v>40316</v>
      </c>
      <c r="G2048" s="11">
        <v>350</v>
      </c>
      <c r="H2048" s="11">
        <v>0</v>
      </c>
      <c r="I2048" s="4"/>
      <c r="J2048" s="4"/>
      <c r="K2048" s="11">
        <v>0</v>
      </c>
      <c r="L2048" s="4"/>
      <c r="M2048" s="4"/>
      <c r="N2048" s="11">
        <v>350</v>
      </c>
      <c r="O2048" s="4" t="s">
        <v>56</v>
      </c>
      <c r="P2048" s="4" t="s">
        <v>57</v>
      </c>
      <c r="Q2048" s="11">
        <v>0</v>
      </c>
      <c r="R2048" s="4"/>
      <c r="S2048" s="12"/>
    </row>
    <row r="2049" spans="1:19" x14ac:dyDescent="0.25">
      <c r="A2049" s="9" t="s">
        <v>1117</v>
      </c>
      <c r="B2049" s="9" t="s">
        <v>291</v>
      </c>
      <c r="C2049" s="4">
        <v>201003437</v>
      </c>
      <c r="D2049" s="4" t="s">
        <v>1182</v>
      </c>
      <c r="E2049" s="4" t="str">
        <f>"068362010"</f>
        <v>068362010</v>
      </c>
      <c r="F2049" s="10">
        <v>40316</v>
      </c>
      <c r="G2049" s="11">
        <v>574.70000000000005</v>
      </c>
      <c r="H2049" s="11">
        <v>0</v>
      </c>
      <c r="I2049" s="4"/>
      <c r="J2049" s="4"/>
      <c r="K2049" s="11">
        <v>0</v>
      </c>
      <c r="L2049" s="4"/>
      <c r="M2049" s="4"/>
      <c r="N2049" s="11">
        <v>574.70000000000005</v>
      </c>
      <c r="O2049" s="4" t="s">
        <v>56</v>
      </c>
      <c r="P2049" s="4" t="s">
        <v>57</v>
      </c>
      <c r="Q2049" s="11">
        <v>0</v>
      </c>
      <c r="R2049" s="4"/>
      <c r="S2049" s="12"/>
    </row>
    <row r="2050" spans="1:19" x14ac:dyDescent="0.25">
      <c r="A2050" s="9" t="s">
        <v>1117</v>
      </c>
      <c r="B2050" s="9" t="s">
        <v>291</v>
      </c>
      <c r="C2050" s="4">
        <v>201003438</v>
      </c>
      <c r="D2050" s="4" t="s">
        <v>1521</v>
      </c>
      <c r="E2050" s="4" t="str">
        <f>"068282010"</f>
        <v>068282010</v>
      </c>
      <c r="F2050" s="10">
        <v>40316</v>
      </c>
      <c r="G2050" s="11">
        <v>57.3</v>
      </c>
      <c r="H2050" s="11">
        <v>0</v>
      </c>
      <c r="I2050" s="4"/>
      <c r="J2050" s="4"/>
      <c r="K2050" s="11">
        <v>0</v>
      </c>
      <c r="L2050" s="4"/>
      <c r="M2050" s="4"/>
      <c r="N2050" s="11">
        <v>57.3</v>
      </c>
      <c r="O2050" s="4" t="s">
        <v>56</v>
      </c>
      <c r="P2050" s="4" t="s">
        <v>57</v>
      </c>
      <c r="Q2050" s="11">
        <v>0</v>
      </c>
      <c r="R2050" s="4"/>
      <c r="S2050" s="12"/>
    </row>
    <row r="2051" spans="1:19" x14ac:dyDescent="0.25">
      <c r="A2051" s="9" t="s">
        <v>1117</v>
      </c>
      <c r="B2051" s="9" t="s">
        <v>291</v>
      </c>
      <c r="C2051" s="4">
        <v>201003439</v>
      </c>
      <c r="D2051" s="4" t="s">
        <v>1488</v>
      </c>
      <c r="E2051" s="4" t="str">
        <f>"068322010"</f>
        <v>068322010</v>
      </c>
      <c r="F2051" s="10">
        <v>40316</v>
      </c>
      <c r="G2051" s="11">
        <v>75.599999999999994</v>
      </c>
      <c r="H2051" s="11">
        <v>0</v>
      </c>
      <c r="I2051" s="4"/>
      <c r="J2051" s="4"/>
      <c r="K2051" s="11">
        <v>0</v>
      </c>
      <c r="L2051" s="4"/>
      <c r="M2051" s="4"/>
      <c r="N2051" s="11">
        <v>75.599999999999994</v>
      </c>
      <c r="O2051" s="4" t="s">
        <v>56</v>
      </c>
      <c r="P2051" s="4" t="s">
        <v>57</v>
      </c>
      <c r="Q2051" s="11">
        <v>0</v>
      </c>
      <c r="R2051" s="4"/>
      <c r="S2051" s="12"/>
    </row>
    <row r="2052" spans="1:19" x14ac:dyDescent="0.25">
      <c r="A2052" s="9" t="s">
        <v>1117</v>
      </c>
      <c r="B2052" s="9" t="s">
        <v>291</v>
      </c>
      <c r="C2052" s="4">
        <v>201003440</v>
      </c>
      <c r="D2052" s="4"/>
      <c r="E2052" s="4" t="str">
        <f>"068442010"</f>
        <v>068442010</v>
      </c>
      <c r="F2052" s="10">
        <v>40316</v>
      </c>
      <c r="G2052" s="11">
        <v>350</v>
      </c>
      <c r="H2052" s="11">
        <v>0</v>
      </c>
      <c r="I2052" s="4"/>
      <c r="J2052" s="4"/>
      <c r="K2052" s="11">
        <v>0</v>
      </c>
      <c r="L2052" s="4"/>
      <c r="M2052" s="4"/>
      <c r="N2052" s="11">
        <v>350</v>
      </c>
      <c r="O2052" s="4" t="s">
        <v>56</v>
      </c>
      <c r="P2052" s="4" t="s">
        <v>57</v>
      </c>
      <c r="Q2052" s="11">
        <v>0</v>
      </c>
      <c r="R2052" s="4"/>
      <c r="S2052" s="12"/>
    </row>
    <row r="2053" spans="1:19" x14ac:dyDescent="0.25">
      <c r="A2053" s="9" t="s">
        <v>1117</v>
      </c>
      <c r="B2053" s="9" t="s">
        <v>291</v>
      </c>
      <c r="C2053" s="4">
        <v>201003441</v>
      </c>
      <c r="D2053" s="4" t="s">
        <v>1522</v>
      </c>
      <c r="E2053" s="4" t="str">
        <f>"068702010"</f>
        <v>068702010</v>
      </c>
      <c r="F2053" s="10">
        <v>40312</v>
      </c>
      <c r="G2053" s="11">
        <v>350</v>
      </c>
      <c r="H2053" s="11">
        <v>0</v>
      </c>
      <c r="I2053" s="4"/>
      <c r="J2053" s="4"/>
      <c r="K2053" s="11">
        <v>0</v>
      </c>
      <c r="L2053" s="4"/>
      <c r="M2053" s="4"/>
      <c r="N2053" s="11">
        <v>350</v>
      </c>
      <c r="O2053" s="4" t="s">
        <v>56</v>
      </c>
      <c r="P2053" s="4" t="s">
        <v>57</v>
      </c>
      <c r="Q2053" s="11">
        <v>0</v>
      </c>
      <c r="R2053" s="4"/>
      <c r="S2053" s="12"/>
    </row>
    <row r="2054" spans="1:19" x14ac:dyDescent="0.25">
      <c r="A2054" s="9" t="s">
        <v>1117</v>
      </c>
      <c r="B2054" s="9" t="s">
        <v>291</v>
      </c>
      <c r="C2054" s="4">
        <v>201003443</v>
      </c>
      <c r="D2054" s="4" t="s">
        <v>1134</v>
      </c>
      <c r="E2054" s="4" t="str">
        <f>"068762010"</f>
        <v>068762010</v>
      </c>
      <c r="F2054" s="10">
        <v>40318</v>
      </c>
      <c r="G2054" s="11">
        <v>350</v>
      </c>
      <c r="H2054" s="11">
        <v>0</v>
      </c>
      <c r="I2054" s="4"/>
      <c r="J2054" s="4"/>
      <c r="K2054" s="11">
        <v>0</v>
      </c>
      <c r="L2054" s="4"/>
      <c r="M2054" s="4"/>
      <c r="N2054" s="11">
        <v>350</v>
      </c>
      <c r="O2054" s="4" t="s">
        <v>56</v>
      </c>
      <c r="P2054" s="4" t="s">
        <v>57</v>
      </c>
      <c r="Q2054" s="11">
        <v>0</v>
      </c>
      <c r="R2054" s="4"/>
      <c r="S2054" s="12"/>
    </row>
    <row r="2055" spans="1:19" x14ac:dyDescent="0.25">
      <c r="A2055" s="9" t="s">
        <v>1117</v>
      </c>
      <c r="B2055" s="9" t="s">
        <v>291</v>
      </c>
      <c r="C2055" s="4">
        <v>201003444</v>
      </c>
      <c r="D2055" s="4" t="s">
        <v>1514</v>
      </c>
      <c r="E2055" s="4" t="str">
        <f>"068682010"</f>
        <v>068682010</v>
      </c>
      <c r="F2055" s="10">
        <v>40318</v>
      </c>
      <c r="G2055" s="11">
        <v>350</v>
      </c>
      <c r="H2055" s="11">
        <v>0</v>
      </c>
      <c r="I2055" s="4"/>
      <c r="J2055" s="4"/>
      <c r="K2055" s="11">
        <v>0</v>
      </c>
      <c r="L2055" s="4"/>
      <c r="M2055" s="4"/>
      <c r="N2055" s="11">
        <v>350</v>
      </c>
      <c r="O2055" s="4" t="s">
        <v>56</v>
      </c>
      <c r="P2055" s="4" t="s">
        <v>57</v>
      </c>
      <c r="Q2055" s="11">
        <v>0</v>
      </c>
      <c r="R2055" s="4"/>
      <c r="S2055" s="12"/>
    </row>
    <row r="2056" spans="1:19" x14ac:dyDescent="0.25">
      <c r="A2056" s="9" t="s">
        <v>1117</v>
      </c>
      <c r="B2056" s="9" t="s">
        <v>291</v>
      </c>
      <c r="C2056" s="4">
        <v>201003447</v>
      </c>
      <c r="D2056" s="4" t="s">
        <v>1177</v>
      </c>
      <c r="E2056" s="4" t="str">
        <f>"068342010"</f>
        <v>068342010</v>
      </c>
      <c r="F2056" s="10">
        <v>40316</v>
      </c>
      <c r="G2056" s="11">
        <v>364.15</v>
      </c>
      <c r="H2056" s="11">
        <v>0</v>
      </c>
      <c r="I2056" s="4"/>
      <c r="J2056" s="4"/>
      <c r="K2056" s="11">
        <v>0</v>
      </c>
      <c r="L2056" s="4"/>
      <c r="M2056" s="4"/>
      <c r="N2056" s="11">
        <v>364.15</v>
      </c>
      <c r="O2056" s="4" t="s">
        <v>56</v>
      </c>
      <c r="P2056" s="4" t="s">
        <v>57</v>
      </c>
      <c r="Q2056" s="11">
        <v>0</v>
      </c>
      <c r="R2056" s="4"/>
      <c r="S2056" s="12"/>
    </row>
    <row r="2057" spans="1:19" x14ac:dyDescent="0.25">
      <c r="A2057" s="9" t="s">
        <v>1117</v>
      </c>
      <c r="B2057" s="9" t="s">
        <v>291</v>
      </c>
      <c r="C2057" s="4">
        <v>201003450</v>
      </c>
      <c r="D2057" s="4" t="s">
        <v>1245</v>
      </c>
      <c r="E2057" s="4" t="str">
        <f>"068882010"</f>
        <v>068882010</v>
      </c>
      <c r="F2057" s="10">
        <v>40318</v>
      </c>
      <c r="G2057" s="11">
        <v>369</v>
      </c>
      <c r="H2057" s="11">
        <v>0</v>
      </c>
      <c r="I2057" s="4"/>
      <c r="J2057" s="4"/>
      <c r="K2057" s="11">
        <v>0</v>
      </c>
      <c r="L2057" s="4"/>
      <c r="M2057" s="4"/>
      <c r="N2057" s="11">
        <v>369</v>
      </c>
      <c r="O2057" s="4" t="s">
        <v>56</v>
      </c>
      <c r="P2057" s="4" t="s">
        <v>57</v>
      </c>
      <c r="Q2057" s="11">
        <v>0</v>
      </c>
      <c r="R2057" s="4"/>
      <c r="S2057" s="12"/>
    </row>
    <row r="2058" spans="1:19" x14ac:dyDescent="0.25">
      <c r="A2058" s="9" t="s">
        <v>1117</v>
      </c>
      <c r="B2058" s="9" t="s">
        <v>291</v>
      </c>
      <c r="C2058" s="4">
        <v>201003458</v>
      </c>
      <c r="D2058" s="4" t="s">
        <v>1430</v>
      </c>
      <c r="E2058" s="4" t="str">
        <f>"069262010"</f>
        <v>069262010</v>
      </c>
      <c r="F2058" s="10">
        <v>40316</v>
      </c>
      <c r="G2058" s="11">
        <v>367.64</v>
      </c>
      <c r="H2058" s="11">
        <v>0</v>
      </c>
      <c r="I2058" s="4"/>
      <c r="J2058" s="4"/>
      <c r="K2058" s="11">
        <v>0</v>
      </c>
      <c r="L2058" s="4"/>
      <c r="M2058" s="4"/>
      <c r="N2058" s="11">
        <v>367.64</v>
      </c>
      <c r="O2058" s="4" t="s">
        <v>56</v>
      </c>
      <c r="P2058" s="4" t="s">
        <v>57</v>
      </c>
      <c r="Q2058" s="11">
        <v>0</v>
      </c>
      <c r="R2058" s="4"/>
      <c r="S2058" s="12"/>
    </row>
    <row r="2059" spans="1:19" x14ac:dyDescent="0.25">
      <c r="A2059" s="9" t="s">
        <v>1117</v>
      </c>
      <c r="B2059" s="9" t="s">
        <v>291</v>
      </c>
      <c r="C2059" s="4">
        <v>201003460</v>
      </c>
      <c r="D2059" s="4" t="s">
        <v>1418</v>
      </c>
      <c r="E2059" s="4" t="str">
        <f>"069242010"</f>
        <v>069242010</v>
      </c>
      <c r="F2059" s="10">
        <v>40316</v>
      </c>
      <c r="G2059" s="11">
        <v>17</v>
      </c>
      <c r="H2059" s="11">
        <v>0</v>
      </c>
      <c r="I2059" s="4"/>
      <c r="J2059" s="4"/>
      <c r="K2059" s="11">
        <v>0</v>
      </c>
      <c r="L2059" s="4"/>
      <c r="M2059" s="4"/>
      <c r="N2059" s="11">
        <v>17</v>
      </c>
      <c r="O2059" s="4" t="s">
        <v>56</v>
      </c>
      <c r="P2059" s="4" t="s">
        <v>57</v>
      </c>
      <c r="Q2059" s="11">
        <v>0</v>
      </c>
      <c r="R2059" s="4"/>
      <c r="S2059" s="12"/>
    </row>
    <row r="2060" spans="1:19" x14ac:dyDescent="0.25">
      <c r="A2060" s="9" t="s">
        <v>1117</v>
      </c>
      <c r="B2060" s="9" t="s">
        <v>291</v>
      </c>
      <c r="C2060" s="4">
        <v>201003461</v>
      </c>
      <c r="D2060" s="4" t="s">
        <v>1424</v>
      </c>
      <c r="E2060" s="4" t="str">
        <f>"070172010"</f>
        <v>070172010</v>
      </c>
      <c r="F2060" s="10">
        <v>40318</v>
      </c>
      <c r="G2060" s="11">
        <v>66.849999999999994</v>
      </c>
      <c r="H2060" s="11">
        <v>0</v>
      </c>
      <c r="I2060" s="4"/>
      <c r="J2060" s="4"/>
      <c r="K2060" s="11">
        <v>0</v>
      </c>
      <c r="L2060" s="4"/>
      <c r="M2060" s="4"/>
      <c r="N2060" s="11">
        <v>66.849999999999994</v>
      </c>
      <c r="O2060" s="4" t="s">
        <v>56</v>
      </c>
      <c r="P2060" s="4" t="s">
        <v>57</v>
      </c>
      <c r="Q2060" s="11">
        <v>0</v>
      </c>
      <c r="R2060" s="4"/>
      <c r="S2060" s="12"/>
    </row>
    <row r="2061" spans="1:19" x14ac:dyDescent="0.25">
      <c r="A2061" s="9" t="s">
        <v>1117</v>
      </c>
      <c r="B2061" s="9" t="s">
        <v>291</v>
      </c>
      <c r="C2061" s="4">
        <v>201003462</v>
      </c>
      <c r="D2061" s="4" t="s">
        <v>1418</v>
      </c>
      <c r="E2061" s="4" t="str">
        <f>"069002010"</f>
        <v>069002010</v>
      </c>
      <c r="F2061" s="10">
        <v>40316</v>
      </c>
      <c r="G2061" s="11">
        <v>367.75</v>
      </c>
      <c r="H2061" s="11">
        <v>0</v>
      </c>
      <c r="I2061" s="4"/>
      <c r="J2061" s="4"/>
      <c r="K2061" s="11">
        <v>0</v>
      </c>
      <c r="L2061" s="4"/>
      <c r="M2061" s="4"/>
      <c r="N2061" s="11">
        <v>367.75</v>
      </c>
      <c r="O2061" s="4" t="s">
        <v>56</v>
      </c>
      <c r="P2061" s="4" t="s">
        <v>57</v>
      </c>
      <c r="Q2061" s="11">
        <v>0</v>
      </c>
      <c r="R2061" s="4"/>
      <c r="S2061" s="12"/>
    </row>
    <row r="2062" spans="1:19" x14ac:dyDescent="0.25">
      <c r="A2062" s="9" t="s">
        <v>1117</v>
      </c>
      <c r="B2062" s="9" t="s">
        <v>291</v>
      </c>
      <c r="C2062" s="4">
        <v>201003463</v>
      </c>
      <c r="D2062" s="4" t="s">
        <v>1523</v>
      </c>
      <c r="E2062" s="4" t="str">
        <f>"069022010"</f>
        <v>069022010</v>
      </c>
      <c r="F2062" s="10">
        <v>40316</v>
      </c>
      <c r="G2062" s="11">
        <v>375</v>
      </c>
      <c r="H2062" s="11">
        <v>0</v>
      </c>
      <c r="I2062" s="4"/>
      <c r="J2062" s="4"/>
      <c r="K2062" s="11">
        <v>0</v>
      </c>
      <c r="L2062" s="4"/>
      <c r="M2062" s="4"/>
      <c r="N2062" s="11">
        <v>375</v>
      </c>
      <c r="O2062" s="4" t="s">
        <v>56</v>
      </c>
      <c r="P2062" s="4" t="s">
        <v>57</v>
      </c>
      <c r="Q2062" s="11">
        <v>0</v>
      </c>
      <c r="R2062" s="4"/>
      <c r="S2062" s="12"/>
    </row>
    <row r="2063" spans="1:19" x14ac:dyDescent="0.25">
      <c r="A2063" s="9" t="s">
        <v>1117</v>
      </c>
      <c r="B2063" s="9" t="s">
        <v>291</v>
      </c>
      <c r="C2063" s="4">
        <v>201003465</v>
      </c>
      <c r="D2063" s="4" t="s">
        <v>1524</v>
      </c>
      <c r="E2063" s="4" t="str">
        <f>"071192010"</f>
        <v>071192010</v>
      </c>
      <c r="F2063" s="10">
        <v>40324</v>
      </c>
      <c r="G2063" s="11">
        <v>379.31</v>
      </c>
      <c r="H2063" s="11">
        <v>0</v>
      </c>
      <c r="I2063" s="4"/>
      <c r="J2063" s="4"/>
      <c r="K2063" s="11">
        <v>0</v>
      </c>
      <c r="L2063" s="4"/>
      <c r="M2063" s="4"/>
      <c r="N2063" s="11">
        <v>379.31</v>
      </c>
      <c r="O2063" s="4" t="s">
        <v>56</v>
      </c>
      <c r="P2063" s="4" t="s">
        <v>57</v>
      </c>
      <c r="Q2063" s="11">
        <v>0</v>
      </c>
      <c r="R2063" s="4"/>
      <c r="S2063" s="12"/>
    </row>
    <row r="2064" spans="1:19" x14ac:dyDescent="0.25">
      <c r="A2064" s="9" t="s">
        <v>1117</v>
      </c>
      <c r="B2064" s="9" t="s">
        <v>291</v>
      </c>
      <c r="C2064" s="4">
        <v>201003468</v>
      </c>
      <c r="D2064" s="4" t="s">
        <v>1242</v>
      </c>
      <c r="E2064" s="4" t="str">
        <f>"069742010"</f>
        <v>069742010</v>
      </c>
      <c r="F2064" s="10">
        <v>40316</v>
      </c>
      <c r="G2064" s="11">
        <v>350</v>
      </c>
      <c r="H2064" s="11">
        <v>0</v>
      </c>
      <c r="I2064" s="4"/>
      <c r="J2064" s="4"/>
      <c r="K2064" s="11">
        <v>0</v>
      </c>
      <c r="L2064" s="4"/>
      <c r="M2064" s="4"/>
      <c r="N2064" s="11">
        <v>350</v>
      </c>
      <c r="O2064" s="4" t="s">
        <v>56</v>
      </c>
      <c r="P2064" s="4" t="s">
        <v>57</v>
      </c>
      <c r="Q2064" s="11">
        <v>0</v>
      </c>
      <c r="R2064" s="4"/>
      <c r="S2064" s="12"/>
    </row>
    <row r="2065" spans="1:19" x14ac:dyDescent="0.25">
      <c r="A2065" s="9" t="s">
        <v>1117</v>
      </c>
      <c r="B2065" s="9" t="s">
        <v>291</v>
      </c>
      <c r="C2065" s="4">
        <v>201003478</v>
      </c>
      <c r="D2065" s="4" t="s">
        <v>1488</v>
      </c>
      <c r="E2065" s="4" t="str">
        <f>"069802010"</f>
        <v>069802010</v>
      </c>
      <c r="F2065" s="10">
        <v>40317</v>
      </c>
      <c r="G2065" s="11">
        <v>69.650000000000006</v>
      </c>
      <c r="H2065" s="11">
        <v>0</v>
      </c>
      <c r="I2065" s="4"/>
      <c r="J2065" s="4"/>
      <c r="K2065" s="11">
        <v>0</v>
      </c>
      <c r="L2065" s="4"/>
      <c r="M2065" s="4"/>
      <c r="N2065" s="11">
        <v>69.650000000000006</v>
      </c>
      <c r="O2065" s="4" t="s">
        <v>56</v>
      </c>
      <c r="P2065" s="4" t="s">
        <v>57</v>
      </c>
      <c r="Q2065" s="11">
        <v>0</v>
      </c>
      <c r="R2065" s="4"/>
      <c r="S2065" s="12"/>
    </row>
    <row r="2066" spans="1:19" x14ac:dyDescent="0.25">
      <c r="A2066" s="9" t="s">
        <v>1117</v>
      </c>
      <c r="B2066" s="9" t="s">
        <v>291</v>
      </c>
      <c r="C2066" s="4">
        <v>201003479</v>
      </c>
      <c r="D2066" s="4" t="s">
        <v>1182</v>
      </c>
      <c r="E2066" s="4" t="str">
        <f>"069822010"</f>
        <v>069822010</v>
      </c>
      <c r="F2066" s="10">
        <v>40317</v>
      </c>
      <c r="G2066" s="11">
        <v>350</v>
      </c>
      <c r="H2066" s="11">
        <v>0</v>
      </c>
      <c r="I2066" s="4"/>
      <c r="J2066" s="4"/>
      <c r="K2066" s="11">
        <v>0</v>
      </c>
      <c r="L2066" s="4"/>
      <c r="M2066" s="4"/>
      <c r="N2066" s="11">
        <v>350</v>
      </c>
      <c r="O2066" s="4" t="s">
        <v>56</v>
      </c>
      <c r="P2066" s="4" t="s">
        <v>57</v>
      </c>
      <c r="Q2066" s="11">
        <v>0</v>
      </c>
      <c r="R2066" s="4"/>
      <c r="S2066" s="12"/>
    </row>
    <row r="2067" spans="1:19" x14ac:dyDescent="0.25">
      <c r="A2067" s="9" t="s">
        <v>1117</v>
      </c>
      <c r="B2067" s="9" t="s">
        <v>291</v>
      </c>
      <c r="C2067" s="4">
        <v>201003482</v>
      </c>
      <c r="D2067" s="4" t="s">
        <v>1525</v>
      </c>
      <c r="E2067" s="4" t="str">
        <f>"072112010"</f>
        <v>072112010</v>
      </c>
      <c r="F2067" s="10">
        <v>40323</v>
      </c>
      <c r="G2067" s="11">
        <v>350</v>
      </c>
      <c r="H2067" s="11">
        <v>0</v>
      </c>
      <c r="I2067" s="4"/>
      <c r="J2067" s="4"/>
      <c r="K2067" s="11">
        <v>0</v>
      </c>
      <c r="L2067" s="4"/>
      <c r="M2067" s="4"/>
      <c r="N2067" s="11">
        <v>350</v>
      </c>
      <c r="O2067" s="4" t="s">
        <v>56</v>
      </c>
      <c r="P2067" s="4" t="s">
        <v>57</v>
      </c>
      <c r="Q2067" s="11">
        <v>0</v>
      </c>
      <c r="R2067" s="4"/>
      <c r="S2067" s="12"/>
    </row>
    <row r="2068" spans="1:19" x14ac:dyDescent="0.25">
      <c r="A2068" s="9" t="s">
        <v>1117</v>
      </c>
      <c r="B2068" s="9" t="s">
        <v>291</v>
      </c>
      <c r="C2068" s="4">
        <v>201003484</v>
      </c>
      <c r="D2068" s="4" t="s">
        <v>1504</v>
      </c>
      <c r="E2068" s="4" t="str">
        <f>"069842010"</f>
        <v>069842010</v>
      </c>
      <c r="F2068" s="10">
        <v>40317</v>
      </c>
      <c r="G2068" s="11">
        <v>19.95</v>
      </c>
      <c r="H2068" s="11">
        <v>0</v>
      </c>
      <c r="I2068" s="4"/>
      <c r="J2068" s="4"/>
      <c r="K2068" s="11">
        <v>0</v>
      </c>
      <c r="L2068" s="4"/>
      <c r="M2068" s="4"/>
      <c r="N2068" s="11">
        <v>19.95</v>
      </c>
      <c r="O2068" s="4" t="s">
        <v>56</v>
      </c>
      <c r="P2068" s="4" t="s">
        <v>57</v>
      </c>
      <c r="Q2068" s="11">
        <v>0</v>
      </c>
      <c r="R2068" s="4"/>
      <c r="S2068" s="12"/>
    </row>
    <row r="2069" spans="1:19" x14ac:dyDescent="0.25">
      <c r="A2069" s="9" t="s">
        <v>1117</v>
      </c>
      <c r="B2069" s="9" t="s">
        <v>291</v>
      </c>
      <c r="C2069" s="4">
        <v>201003486</v>
      </c>
      <c r="D2069" s="4" t="s">
        <v>1513</v>
      </c>
      <c r="E2069" s="4" t="str">
        <f>"069422010"</f>
        <v>069422010</v>
      </c>
      <c r="F2069" s="10">
        <v>40316</v>
      </c>
      <c r="G2069" s="11">
        <v>350</v>
      </c>
      <c r="H2069" s="11">
        <v>0</v>
      </c>
      <c r="I2069" s="4"/>
      <c r="J2069" s="4"/>
      <c r="K2069" s="11">
        <v>0</v>
      </c>
      <c r="L2069" s="4"/>
      <c r="M2069" s="4"/>
      <c r="N2069" s="11">
        <v>350</v>
      </c>
      <c r="O2069" s="4" t="s">
        <v>56</v>
      </c>
      <c r="P2069" s="4" t="s">
        <v>57</v>
      </c>
      <c r="Q2069" s="11">
        <v>0</v>
      </c>
      <c r="R2069" s="4"/>
      <c r="S2069" s="12"/>
    </row>
    <row r="2070" spans="1:19" x14ac:dyDescent="0.25">
      <c r="A2070" s="9" t="s">
        <v>1117</v>
      </c>
      <c r="B2070" s="9" t="s">
        <v>291</v>
      </c>
      <c r="C2070" s="4">
        <v>201003487</v>
      </c>
      <c r="D2070" s="4" t="s">
        <v>1526</v>
      </c>
      <c r="E2070" s="4" t="str">
        <f>"069182010"</f>
        <v>069182010</v>
      </c>
      <c r="F2070" s="10">
        <v>40316</v>
      </c>
      <c r="G2070" s="11">
        <v>379</v>
      </c>
      <c r="H2070" s="11">
        <v>0</v>
      </c>
      <c r="I2070" s="4"/>
      <c r="J2070" s="4"/>
      <c r="K2070" s="11">
        <v>0</v>
      </c>
      <c r="L2070" s="4"/>
      <c r="M2070" s="4"/>
      <c r="N2070" s="11">
        <v>379</v>
      </c>
      <c r="O2070" s="4" t="s">
        <v>56</v>
      </c>
      <c r="P2070" s="4" t="s">
        <v>57</v>
      </c>
      <c r="Q2070" s="11">
        <v>0</v>
      </c>
      <c r="R2070" s="4"/>
      <c r="S2070" s="12"/>
    </row>
    <row r="2071" spans="1:19" x14ac:dyDescent="0.25">
      <c r="A2071" s="9" t="s">
        <v>1117</v>
      </c>
      <c r="B2071" s="9" t="s">
        <v>291</v>
      </c>
      <c r="C2071" s="4">
        <v>201003488</v>
      </c>
      <c r="D2071" s="4" t="s">
        <v>1177</v>
      </c>
      <c r="E2071" s="4" t="str">
        <f>"069122010"</f>
        <v>069122010</v>
      </c>
      <c r="F2071" s="10">
        <v>40316</v>
      </c>
      <c r="G2071" s="11">
        <v>29.74</v>
      </c>
      <c r="H2071" s="11">
        <v>0</v>
      </c>
      <c r="I2071" s="4"/>
      <c r="J2071" s="4"/>
      <c r="K2071" s="11">
        <v>0</v>
      </c>
      <c r="L2071" s="4"/>
      <c r="M2071" s="4"/>
      <c r="N2071" s="11">
        <v>29.74</v>
      </c>
      <c r="O2071" s="4" t="s">
        <v>56</v>
      </c>
      <c r="P2071" s="4" t="s">
        <v>57</v>
      </c>
      <c r="Q2071" s="11">
        <v>0</v>
      </c>
      <c r="R2071" s="4"/>
      <c r="S2071" s="12"/>
    </row>
    <row r="2072" spans="1:19" x14ac:dyDescent="0.25">
      <c r="A2072" s="9" t="s">
        <v>1117</v>
      </c>
      <c r="B2072" s="9" t="s">
        <v>291</v>
      </c>
      <c r="C2072" s="4">
        <v>201003491</v>
      </c>
      <c r="D2072" s="4" t="s">
        <v>1504</v>
      </c>
      <c r="E2072" s="4" t="str">
        <f>"069602010"</f>
        <v>069602010</v>
      </c>
      <c r="F2072" s="10">
        <v>40317</v>
      </c>
      <c r="G2072" s="11">
        <v>10.8</v>
      </c>
      <c r="H2072" s="11">
        <v>0</v>
      </c>
      <c r="I2072" s="4"/>
      <c r="J2072" s="4"/>
      <c r="K2072" s="11">
        <v>0</v>
      </c>
      <c r="L2072" s="4"/>
      <c r="M2072" s="4"/>
      <c r="N2072" s="11">
        <v>10.8</v>
      </c>
      <c r="O2072" s="4" t="s">
        <v>56</v>
      </c>
      <c r="P2072" s="4" t="s">
        <v>57</v>
      </c>
      <c r="Q2072" s="11">
        <v>0</v>
      </c>
      <c r="R2072" s="4"/>
      <c r="S2072" s="12"/>
    </row>
    <row r="2073" spans="1:19" x14ac:dyDescent="0.25">
      <c r="A2073" s="9" t="s">
        <v>1117</v>
      </c>
      <c r="B2073" s="9" t="s">
        <v>291</v>
      </c>
      <c r="C2073" s="4">
        <v>201003493</v>
      </c>
      <c r="D2073" s="4" t="s">
        <v>1418</v>
      </c>
      <c r="E2073" s="4" t="str">
        <f>"070012010"</f>
        <v>070012010</v>
      </c>
      <c r="F2073" s="10">
        <v>40318</v>
      </c>
      <c r="G2073" s="11">
        <v>21.5</v>
      </c>
      <c r="H2073" s="11">
        <v>0</v>
      </c>
      <c r="I2073" s="4"/>
      <c r="J2073" s="4"/>
      <c r="K2073" s="11">
        <v>0</v>
      </c>
      <c r="L2073" s="4"/>
      <c r="M2073" s="4"/>
      <c r="N2073" s="11">
        <v>21.5</v>
      </c>
      <c r="O2073" s="4" t="s">
        <v>56</v>
      </c>
      <c r="P2073" s="4" t="s">
        <v>57</v>
      </c>
      <c r="Q2073" s="11">
        <v>0</v>
      </c>
      <c r="R2073" s="4"/>
      <c r="S2073" s="12"/>
    </row>
    <row r="2074" spans="1:19" x14ac:dyDescent="0.25">
      <c r="A2074" s="9" t="s">
        <v>1117</v>
      </c>
      <c r="B2074" s="9" t="s">
        <v>291</v>
      </c>
      <c r="C2074" s="4">
        <v>201003494</v>
      </c>
      <c r="D2074" s="4" t="s">
        <v>1181</v>
      </c>
      <c r="E2074" s="4" t="str">
        <f>"069102010"</f>
        <v>069102010</v>
      </c>
      <c r="F2074" s="10">
        <v>40316</v>
      </c>
      <c r="G2074" s="11">
        <v>15.75</v>
      </c>
      <c r="H2074" s="11">
        <v>0</v>
      </c>
      <c r="I2074" s="4"/>
      <c r="J2074" s="4"/>
      <c r="K2074" s="11">
        <v>0</v>
      </c>
      <c r="L2074" s="4"/>
      <c r="M2074" s="4"/>
      <c r="N2074" s="11">
        <v>15.75</v>
      </c>
      <c r="O2074" s="4" t="s">
        <v>56</v>
      </c>
      <c r="P2074" s="4" t="s">
        <v>57</v>
      </c>
      <c r="Q2074" s="11">
        <v>0</v>
      </c>
      <c r="R2074" s="4"/>
      <c r="S2074" s="12"/>
    </row>
    <row r="2075" spans="1:19" x14ac:dyDescent="0.25">
      <c r="A2075" s="9" t="s">
        <v>1117</v>
      </c>
      <c r="B2075" s="9" t="s">
        <v>291</v>
      </c>
      <c r="C2075" s="4">
        <v>201003495</v>
      </c>
      <c r="D2075" s="4"/>
      <c r="E2075" s="4" t="str">
        <f>"070232010"</f>
        <v>070232010</v>
      </c>
      <c r="F2075" s="10">
        <v>40318</v>
      </c>
      <c r="G2075" s="11">
        <v>350</v>
      </c>
      <c r="H2075" s="11">
        <v>0</v>
      </c>
      <c r="I2075" s="4"/>
      <c r="J2075" s="4"/>
      <c r="K2075" s="11">
        <v>0</v>
      </c>
      <c r="L2075" s="4"/>
      <c r="M2075" s="4"/>
      <c r="N2075" s="11">
        <v>350</v>
      </c>
      <c r="O2075" s="4" t="s">
        <v>56</v>
      </c>
      <c r="P2075" s="4" t="s">
        <v>57</v>
      </c>
      <c r="Q2075" s="11">
        <v>0</v>
      </c>
      <c r="R2075" s="4"/>
      <c r="S2075" s="12"/>
    </row>
    <row r="2076" spans="1:19" x14ac:dyDescent="0.25">
      <c r="A2076" s="9" t="s">
        <v>1117</v>
      </c>
      <c r="B2076" s="9" t="s">
        <v>291</v>
      </c>
      <c r="C2076" s="4">
        <v>201003496</v>
      </c>
      <c r="D2076" s="4" t="s">
        <v>1181</v>
      </c>
      <c r="E2076" s="4" t="str">
        <f>"069702010"</f>
        <v>069702010</v>
      </c>
      <c r="F2076" s="10">
        <v>40317</v>
      </c>
      <c r="G2076" s="11">
        <v>372.75</v>
      </c>
      <c r="H2076" s="11">
        <v>0</v>
      </c>
      <c r="I2076" s="4"/>
      <c r="J2076" s="4"/>
      <c r="K2076" s="11">
        <v>0</v>
      </c>
      <c r="L2076" s="4"/>
      <c r="M2076" s="4"/>
      <c r="N2076" s="11">
        <v>372.75</v>
      </c>
      <c r="O2076" s="4" t="s">
        <v>56</v>
      </c>
      <c r="P2076" s="4" t="s">
        <v>57</v>
      </c>
      <c r="Q2076" s="11">
        <v>0</v>
      </c>
      <c r="R2076" s="4"/>
      <c r="S2076" s="12"/>
    </row>
    <row r="2077" spans="1:19" x14ac:dyDescent="0.25">
      <c r="A2077" s="9" t="s">
        <v>1117</v>
      </c>
      <c r="B2077" s="9" t="s">
        <v>291</v>
      </c>
      <c r="C2077" s="4">
        <v>201003498</v>
      </c>
      <c r="D2077" s="4" t="s">
        <v>1181</v>
      </c>
      <c r="E2077" s="4" t="str">
        <f>"069862010"</f>
        <v>069862010</v>
      </c>
      <c r="F2077" s="10">
        <v>40317</v>
      </c>
      <c r="G2077" s="11">
        <v>15.25</v>
      </c>
      <c r="H2077" s="11">
        <v>0</v>
      </c>
      <c r="I2077" s="4"/>
      <c r="J2077" s="4"/>
      <c r="K2077" s="11">
        <v>0</v>
      </c>
      <c r="L2077" s="4"/>
      <c r="M2077" s="4"/>
      <c r="N2077" s="11">
        <v>15.25</v>
      </c>
      <c r="O2077" s="4" t="s">
        <v>56</v>
      </c>
      <c r="P2077" s="4" t="s">
        <v>57</v>
      </c>
      <c r="Q2077" s="11">
        <v>0</v>
      </c>
      <c r="R2077" s="4"/>
      <c r="S2077" s="12"/>
    </row>
    <row r="2078" spans="1:19" x14ac:dyDescent="0.25">
      <c r="A2078" s="9" t="s">
        <v>1117</v>
      </c>
      <c r="B2078" s="9" t="s">
        <v>291</v>
      </c>
      <c r="C2078" s="4">
        <v>201003500</v>
      </c>
      <c r="D2078" s="4" t="s">
        <v>1393</v>
      </c>
      <c r="E2078" s="4" t="str">
        <f>"072272010"</f>
        <v>072272010</v>
      </c>
      <c r="F2078" s="10">
        <v>40324</v>
      </c>
      <c r="G2078" s="11">
        <v>350</v>
      </c>
      <c r="H2078" s="11">
        <v>0</v>
      </c>
      <c r="I2078" s="4"/>
      <c r="J2078" s="4"/>
      <c r="K2078" s="11">
        <v>0</v>
      </c>
      <c r="L2078" s="4"/>
      <c r="M2078" s="4"/>
      <c r="N2078" s="11">
        <v>350</v>
      </c>
      <c r="O2078" s="4" t="s">
        <v>56</v>
      </c>
      <c r="P2078" s="4" t="s">
        <v>57</v>
      </c>
      <c r="Q2078" s="11">
        <v>0</v>
      </c>
      <c r="R2078" s="4"/>
      <c r="S2078" s="12"/>
    </row>
    <row r="2079" spans="1:19" x14ac:dyDescent="0.25">
      <c r="A2079" s="9" t="s">
        <v>1117</v>
      </c>
      <c r="B2079" s="9" t="s">
        <v>291</v>
      </c>
      <c r="C2079" s="4">
        <v>201003502</v>
      </c>
      <c r="D2079" s="4" t="s">
        <v>1181</v>
      </c>
      <c r="E2079" s="4" t="str">
        <f>"069722010"</f>
        <v>069722010</v>
      </c>
      <c r="F2079" s="10">
        <v>40317</v>
      </c>
      <c r="G2079" s="11">
        <v>375.5</v>
      </c>
      <c r="H2079" s="11">
        <v>0</v>
      </c>
      <c r="I2079" s="4"/>
      <c r="J2079" s="4"/>
      <c r="K2079" s="11">
        <v>0</v>
      </c>
      <c r="L2079" s="4"/>
      <c r="M2079" s="4"/>
      <c r="N2079" s="11">
        <v>375.5</v>
      </c>
      <c r="O2079" s="4" t="s">
        <v>56</v>
      </c>
      <c r="P2079" s="4" t="s">
        <v>57</v>
      </c>
      <c r="Q2079" s="11">
        <v>0</v>
      </c>
      <c r="R2079" s="4"/>
      <c r="S2079" s="12"/>
    </row>
    <row r="2080" spans="1:19" x14ac:dyDescent="0.25">
      <c r="A2080" s="9" t="s">
        <v>1117</v>
      </c>
      <c r="B2080" s="9" t="s">
        <v>291</v>
      </c>
      <c r="C2080" s="4">
        <v>201003504</v>
      </c>
      <c r="D2080" s="4" t="s">
        <v>1527</v>
      </c>
      <c r="E2080" s="4" t="str">
        <f>"069682010"</f>
        <v>069682010</v>
      </c>
      <c r="F2080" s="10">
        <v>40317</v>
      </c>
      <c r="G2080" s="11">
        <v>354.6</v>
      </c>
      <c r="H2080" s="11">
        <v>0</v>
      </c>
      <c r="I2080" s="4"/>
      <c r="J2080" s="4"/>
      <c r="K2080" s="11">
        <v>0</v>
      </c>
      <c r="L2080" s="4"/>
      <c r="M2080" s="4"/>
      <c r="N2080" s="11">
        <v>354.6</v>
      </c>
      <c r="O2080" s="4" t="s">
        <v>56</v>
      </c>
      <c r="P2080" s="4" t="s">
        <v>57</v>
      </c>
      <c r="Q2080" s="11">
        <v>0</v>
      </c>
      <c r="R2080" s="4"/>
      <c r="S2080" s="12"/>
    </row>
    <row r="2081" spans="1:19" x14ac:dyDescent="0.25">
      <c r="A2081" s="9" t="s">
        <v>1117</v>
      </c>
      <c r="B2081" s="9" t="s">
        <v>291</v>
      </c>
      <c r="C2081" s="4">
        <v>201003505</v>
      </c>
      <c r="D2081" s="4" t="s">
        <v>1177</v>
      </c>
      <c r="E2081" s="4" t="str">
        <f>"069162010"</f>
        <v>069162010</v>
      </c>
      <c r="F2081" s="10">
        <v>40316</v>
      </c>
      <c r="G2081" s="11">
        <v>60.55</v>
      </c>
      <c r="H2081" s="11">
        <v>0</v>
      </c>
      <c r="I2081" s="4"/>
      <c r="J2081" s="4"/>
      <c r="K2081" s="11">
        <v>0</v>
      </c>
      <c r="L2081" s="4"/>
      <c r="M2081" s="4"/>
      <c r="N2081" s="11">
        <v>60.55</v>
      </c>
      <c r="O2081" s="4" t="s">
        <v>56</v>
      </c>
      <c r="P2081" s="4" t="s">
        <v>57</v>
      </c>
      <c r="Q2081" s="11">
        <v>0</v>
      </c>
      <c r="R2081" s="4"/>
      <c r="S2081" s="12"/>
    </row>
    <row r="2082" spans="1:19" x14ac:dyDescent="0.25">
      <c r="A2082" s="9" t="s">
        <v>1117</v>
      </c>
      <c r="B2082" s="9" t="s">
        <v>291</v>
      </c>
      <c r="C2082" s="4">
        <v>201003506</v>
      </c>
      <c r="D2082" s="4"/>
      <c r="E2082" s="4" t="str">
        <f>"069992010"</f>
        <v>069992010</v>
      </c>
      <c r="F2082" s="10">
        <v>40316</v>
      </c>
      <c r="G2082" s="11">
        <v>350</v>
      </c>
      <c r="H2082" s="11">
        <v>0</v>
      </c>
      <c r="I2082" s="4"/>
      <c r="J2082" s="4"/>
      <c r="K2082" s="11">
        <v>0</v>
      </c>
      <c r="L2082" s="4"/>
      <c r="M2082" s="4"/>
      <c r="N2082" s="11">
        <v>350</v>
      </c>
      <c r="O2082" s="4" t="s">
        <v>56</v>
      </c>
      <c r="P2082" s="4" t="s">
        <v>57</v>
      </c>
      <c r="Q2082" s="11">
        <v>0</v>
      </c>
      <c r="R2082" s="4"/>
      <c r="S2082" s="12"/>
    </row>
    <row r="2083" spans="1:19" x14ac:dyDescent="0.25">
      <c r="A2083" s="9" t="s">
        <v>1117</v>
      </c>
      <c r="B2083" s="9" t="s">
        <v>291</v>
      </c>
      <c r="C2083" s="4">
        <v>201003507</v>
      </c>
      <c r="D2083" s="4" t="s">
        <v>1528</v>
      </c>
      <c r="E2083" s="4" t="str">
        <f>"069322010"</f>
        <v>069322010</v>
      </c>
      <c r="F2083" s="10">
        <v>40316</v>
      </c>
      <c r="G2083" s="11">
        <v>350</v>
      </c>
      <c r="H2083" s="11">
        <v>0</v>
      </c>
      <c r="I2083" s="4"/>
      <c r="J2083" s="4"/>
      <c r="K2083" s="11">
        <v>0</v>
      </c>
      <c r="L2083" s="4"/>
      <c r="M2083" s="4"/>
      <c r="N2083" s="11">
        <v>350</v>
      </c>
      <c r="O2083" s="4" t="s">
        <v>56</v>
      </c>
      <c r="P2083" s="4" t="s">
        <v>57</v>
      </c>
      <c r="Q2083" s="11">
        <v>0</v>
      </c>
      <c r="R2083" s="4"/>
      <c r="S2083" s="12"/>
    </row>
    <row r="2084" spans="1:19" x14ac:dyDescent="0.25">
      <c r="A2084" s="9" t="s">
        <v>1117</v>
      </c>
      <c r="B2084" s="9" t="s">
        <v>291</v>
      </c>
      <c r="C2084" s="4">
        <v>201003509</v>
      </c>
      <c r="D2084" s="4" t="s">
        <v>1504</v>
      </c>
      <c r="E2084" s="4" t="str">
        <f>"069082010"</f>
        <v>069082010</v>
      </c>
      <c r="F2084" s="10">
        <v>40316</v>
      </c>
      <c r="G2084" s="11">
        <v>14.4</v>
      </c>
      <c r="H2084" s="11">
        <v>0</v>
      </c>
      <c r="I2084" s="4"/>
      <c r="J2084" s="4"/>
      <c r="K2084" s="11">
        <v>0</v>
      </c>
      <c r="L2084" s="4"/>
      <c r="M2084" s="4"/>
      <c r="N2084" s="11">
        <v>14.4</v>
      </c>
      <c r="O2084" s="4" t="s">
        <v>56</v>
      </c>
      <c r="P2084" s="4" t="s">
        <v>57</v>
      </c>
      <c r="Q2084" s="11">
        <v>0</v>
      </c>
      <c r="R2084" s="4"/>
      <c r="S2084" s="12"/>
    </row>
    <row r="2085" spans="1:19" x14ac:dyDescent="0.25">
      <c r="A2085" s="9" t="s">
        <v>1117</v>
      </c>
      <c r="B2085" s="9" t="s">
        <v>291</v>
      </c>
      <c r="C2085" s="4">
        <v>201003521</v>
      </c>
      <c r="D2085" s="4" t="s">
        <v>1201</v>
      </c>
      <c r="E2085" s="4" t="str">
        <f>"069942010"</f>
        <v>069942010</v>
      </c>
      <c r="F2085" s="10">
        <v>40317</v>
      </c>
      <c r="G2085" s="11">
        <v>350</v>
      </c>
      <c r="H2085" s="11">
        <v>0</v>
      </c>
      <c r="I2085" s="4"/>
      <c r="J2085" s="4"/>
      <c r="K2085" s="11">
        <v>0</v>
      </c>
      <c r="L2085" s="4"/>
      <c r="M2085" s="4"/>
      <c r="N2085" s="11">
        <v>350</v>
      </c>
      <c r="O2085" s="4" t="s">
        <v>56</v>
      </c>
      <c r="P2085" s="4" t="s">
        <v>57</v>
      </c>
      <c r="Q2085" s="11">
        <v>0</v>
      </c>
      <c r="R2085" s="4"/>
      <c r="S2085" s="12"/>
    </row>
    <row r="2086" spans="1:19" x14ac:dyDescent="0.25">
      <c r="A2086" s="9" t="s">
        <v>1117</v>
      </c>
      <c r="B2086" s="9" t="s">
        <v>291</v>
      </c>
      <c r="C2086" s="4">
        <v>201003523</v>
      </c>
      <c r="D2086" s="4"/>
      <c r="E2086" s="4" t="str">
        <f>"070792010"</f>
        <v>070792010</v>
      </c>
      <c r="F2086" s="10">
        <v>40319</v>
      </c>
      <c r="G2086" s="11">
        <v>350</v>
      </c>
      <c r="H2086" s="11">
        <v>0</v>
      </c>
      <c r="I2086" s="4"/>
      <c r="J2086" s="4"/>
      <c r="K2086" s="11">
        <v>0</v>
      </c>
      <c r="L2086" s="4"/>
      <c r="M2086" s="4"/>
      <c r="N2086" s="11">
        <v>350</v>
      </c>
      <c r="O2086" s="4" t="s">
        <v>56</v>
      </c>
      <c r="P2086" s="4" t="s">
        <v>57</v>
      </c>
      <c r="Q2086" s="11">
        <v>0</v>
      </c>
      <c r="R2086" s="4"/>
      <c r="S2086" s="12"/>
    </row>
    <row r="2087" spans="1:19" x14ac:dyDescent="0.25">
      <c r="A2087" s="9" t="s">
        <v>1117</v>
      </c>
      <c r="B2087" s="9" t="s">
        <v>291</v>
      </c>
      <c r="C2087" s="4">
        <v>201003524</v>
      </c>
      <c r="D2087" s="4" t="s">
        <v>1529</v>
      </c>
      <c r="E2087" s="4" t="str">
        <f>"070812010"</f>
        <v>070812010</v>
      </c>
      <c r="F2087" s="10">
        <v>40319</v>
      </c>
      <c r="G2087" s="11">
        <v>350</v>
      </c>
      <c r="H2087" s="11">
        <v>0</v>
      </c>
      <c r="I2087" s="4"/>
      <c r="J2087" s="4"/>
      <c r="K2087" s="11">
        <v>0</v>
      </c>
      <c r="L2087" s="4"/>
      <c r="M2087" s="4"/>
      <c r="N2087" s="11">
        <v>350</v>
      </c>
      <c r="O2087" s="4" t="s">
        <v>56</v>
      </c>
      <c r="P2087" s="4" t="s">
        <v>57</v>
      </c>
      <c r="Q2087" s="11">
        <v>0</v>
      </c>
      <c r="R2087" s="4"/>
      <c r="S2087" s="12"/>
    </row>
    <row r="2088" spans="1:19" x14ac:dyDescent="0.25">
      <c r="A2088" s="9" t="s">
        <v>1117</v>
      </c>
      <c r="B2088" s="9" t="s">
        <v>291</v>
      </c>
      <c r="C2088" s="4">
        <v>201003526</v>
      </c>
      <c r="D2088" s="4" t="s">
        <v>1309</v>
      </c>
      <c r="E2088" s="4" t="str">
        <f>"070832010"</f>
        <v>070832010</v>
      </c>
      <c r="F2088" s="10">
        <v>40319</v>
      </c>
      <c r="G2088" s="11">
        <v>350</v>
      </c>
      <c r="H2088" s="11">
        <v>0</v>
      </c>
      <c r="I2088" s="4"/>
      <c r="J2088" s="4"/>
      <c r="K2088" s="11">
        <v>0</v>
      </c>
      <c r="L2088" s="4"/>
      <c r="M2088" s="4"/>
      <c r="N2088" s="11">
        <v>350</v>
      </c>
      <c r="O2088" s="4" t="s">
        <v>56</v>
      </c>
      <c r="P2088" s="4" t="s">
        <v>57</v>
      </c>
      <c r="Q2088" s="11">
        <v>0</v>
      </c>
      <c r="R2088" s="4"/>
      <c r="S2088" s="12"/>
    </row>
    <row r="2089" spans="1:19" x14ac:dyDescent="0.25">
      <c r="A2089" s="9" t="s">
        <v>1117</v>
      </c>
      <c r="B2089" s="9" t="s">
        <v>291</v>
      </c>
      <c r="C2089" s="4">
        <v>201003529</v>
      </c>
      <c r="D2089" s="4" t="s">
        <v>1530</v>
      </c>
      <c r="E2089" s="4" t="str">
        <f>"070112010"</f>
        <v>070112010</v>
      </c>
      <c r="F2089" s="10">
        <v>40318</v>
      </c>
      <c r="G2089" s="11">
        <v>352.8</v>
      </c>
      <c r="H2089" s="11">
        <v>0</v>
      </c>
      <c r="I2089" s="4"/>
      <c r="J2089" s="4"/>
      <c r="K2089" s="11">
        <v>0</v>
      </c>
      <c r="L2089" s="4"/>
      <c r="M2089" s="4"/>
      <c r="N2089" s="11">
        <v>352.8</v>
      </c>
      <c r="O2089" s="4" t="s">
        <v>56</v>
      </c>
      <c r="P2089" s="4" t="s">
        <v>57</v>
      </c>
      <c r="Q2089" s="11">
        <v>0</v>
      </c>
      <c r="R2089" s="4"/>
      <c r="S2089" s="12"/>
    </row>
    <row r="2090" spans="1:19" x14ac:dyDescent="0.25">
      <c r="A2090" s="9" t="s">
        <v>1117</v>
      </c>
      <c r="B2090" s="9" t="s">
        <v>291</v>
      </c>
      <c r="C2090" s="4">
        <v>201003534</v>
      </c>
      <c r="D2090" s="4" t="s">
        <v>1531</v>
      </c>
      <c r="E2090" s="4" t="str">
        <f>"070632010"</f>
        <v>070632010</v>
      </c>
      <c r="F2090" s="10">
        <v>40319</v>
      </c>
      <c r="G2090" s="11">
        <v>350</v>
      </c>
      <c r="H2090" s="11">
        <v>0</v>
      </c>
      <c r="I2090" s="4"/>
      <c r="J2090" s="4"/>
      <c r="K2090" s="11">
        <v>0</v>
      </c>
      <c r="L2090" s="4"/>
      <c r="M2090" s="4"/>
      <c r="N2090" s="11">
        <v>350</v>
      </c>
      <c r="O2090" s="4" t="s">
        <v>56</v>
      </c>
      <c r="P2090" s="4" t="s">
        <v>57</v>
      </c>
      <c r="Q2090" s="11">
        <v>0</v>
      </c>
      <c r="R2090" s="4"/>
      <c r="S2090" s="12"/>
    </row>
    <row r="2091" spans="1:19" x14ac:dyDescent="0.25">
      <c r="A2091" s="9" t="s">
        <v>1117</v>
      </c>
      <c r="B2091" s="9" t="s">
        <v>291</v>
      </c>
      <c r="C2091" s="4">
        <v>201003539</v>
      </c>
      <c r="D2091" s="4" t="s">
        <v>1177</v>
      </c>
      <c r="E2091" s="4" t="str">
        <f>"070252010"</f>
        <v>070252010</v>
      </c>
      <c r="F2091" s="10">
        <v>40318</v>
      </c>
      <c r="G2091" s="11">
        <v>377.5</v>
      </c>
      <c r="H2091" s="11">
        <v>0</v>
      </c>
      <c r="I2091" s="4"/>
      <c r="J2091" s="4"/>
      <c r="K2091" s="11">
        <v>0</v>
      </c>
      <c r="L2091" s="4"/>
      <c r="M2091" s="4"/>
      <c r="N2091" s="11">
        <v>377.5</v>
      </c>
      <c r="O2091" s="4" t="s">
        <v>56</v>
      </c>
      <c r="P2091" s="4" t="s">
        <v>57</v>
      </c>
      <c r="Q2091" s="11">
        <v>0</v>
      </c>
      <c r="R2091" s="4"/>
      <c r="S2091" s="12"/>
    </row>
    <row r="2092" spans="1:19" x14ac:dyDescent="0.25">
      <c r="A2092" s="9" t="s">
        <v>1117</v>
      </c>
      <c r="B2092" s="9" t="s">
        <v>291</v>
      </c>
      <c r="C2092" s="4">
        <v>201003540</v>
      </c>
      <c r="D2092" s="4" t="s">
        <v>1183</v>
      </c>
      <c r="E2092" s="4" t="str">
        <f>"070092010"</f>
        <v>070092010</v>
      </c>
      <c r="F2092" s="10">
        <v>40318</v>
      </c>
      <c r="G2092" s="11">
        <v>352.1</v>
      </c>
      <c r="H2092" s="11">
        <v>0</v>
      </c>
      <c r="I2092" s="4"/>
      <c r="J2092" s="4"/>
      <c r="K2092" s="11">
        <v>0</v>
      </c>
      <c r="L2092" s="4"/>
      <c r="M2092" s="4"/>
      <c r="N2092" s="11">
        <v>352.1</v>
      </c>
      <c r="O2092" s="4" t="s">
        <v>56</v>
      </c>
      <c r="P2092" s="4" t="s">
        <v>57</v>
      </c>
      <c r="Q2092" s="11">
        <v>0</v>
      </c>
      <c r="R2092" s="4"/>
      <c r="S2092" s="12"/>
    </row>
    <row r="2093" spans="1:19" x14ac:dyDescent="0.25">
      <c r="A2093" s="9" t="s">
        <v>1117</v>
      </c>
      <c r="B2093" s="9" t="s">
        <v>291</v>
      </c>
      <c r="C2093" s="4">
        <v>201003545</v>
      </c>
      <c r="D2093" s="4" t="s">
        <v>1514</v>
      </c>
      <c r="E2093" s="4" t="str">
        <f>"070412010"</f>
        <v>070412010</v>
      </c>
      <c r="F2093" s="10">
        <v>40323</v>
      </c>
      <c r="G2093" s="11">
        <v>350</v>
      </c>
      <c r="H2093" s="11">
        <v>0</v>
      </c>
      <c r="I2093" s="4"/>
      <c r="J2093" s="4"/>
      <c r="K2093" s="11">
        <v>0</v>
      </c>
      <c r="L2093" s="4"/>
      <c r="M2093" s="4"/>
      <c r="N2093" s="11">
        <v>350</v>
      </c>
      <c r="O2093" s="4" t="s">
        <v>56</v>
      </c>
      <c r="P2093" s="4" t="s">
        <v>57</v>
      </c>
      <c r="Q2093" s="11">
        <v>0</v>
      </c>
      <c r="R2093" s="4"/>
      <c r="S2093" s="12"/>
    </row>
    <row r="2094" spans="1:19" x14ac:dyDescent="0.25">
      <c r="A2094" s="9" t="s">
        <v>1117</v>
      </c>
      <c r="B2094" s="9" t="s">
        <v>291</v>
      </c>
      <c r="C2094" s="4">
        <v>201003547</v>
      </c>
      <c r="D2094" s="4" t="s">
        <v>1201</v>
      </c>
      <c r="E2094" s="4" t="str">
        <f>"070432010"</f>
        <v>070432010</v>
      </c>
      <c r="F2094" s="10">
        <v>40323</v>
      </c>
      <c r="G2094" s="11">
        <v>350</v>
      </c>
      <c r="H2094" s="11">
        <v>0</v>
      </c>
      <c r="I2094" s="4"/>
      <c r="J2094" s="4"/>
      <c r="K2094" s="11">
        <v>0</v>
      </c>
      <c r="L2094" s="4"/>
      <c r="M2094" s="4"/>
      <c r="N2094" s="11">
        <v>350</v>
      </c>
      <c r="O2094" s="4" t="s">
        <v>56</v>
      </c>
      <c r="P2094" s="4" t="s">
        <v>57</v>
      </c>
      <c r="Q2094" s="11">
        <v>0</v>
      </c>
      <c r="R2094" s="4"/>
      <c r="S2094" s="12"/>
    </row>
    <row r="2095" spans="1:19" x14ac:dyDescent="0.25">
      <c r="A2095" s="9" t="s">
        <v>1117</v>
      </c>
      <c r="B2095" s="9" t="s">
        <v>291</v>
      </c>
      <c r="C2095" s="4">
        <v>201003549</v>
      </c>
      <c r="D2095" s="4" t="s">
        <v>1532</v>
      </c>
      <c r="E2095" s="4" t="str">
        <f>"070452010"</f>
        <v>070452010</v>
      </c>
      <c r="F2095" s="10">
        <v>40323</v>
      </c>
      <c r="G2095" s="11">
        <v>350</v>
      </c>
      <c r="H2095" s="11">
        <v>0</v>
      </c>
      <c r="I2095" s="4"/>
      <c r="J2095" s="4"/>
      <c r="K2095" s="11">
        <v>0</v>
      </c>
      <c r="L2095" s="4"/>
      <c r="M2095" s="4"/>
      <c r="N2095" s="11">
        <v>350</v>
      </c>
      <c r="O2095" s="4" t="s">
        <v>56</v>
      </c>
      <c r="P2095" s="4" t="s">
        <v>57</v>
      </c>
      <c r="Q2095" s="11">
        <v>0</v>
      </c>
      <c r="R2095" s="4"/>
      <c r="S2095" s="12"/>
    </row>
    <row r="2096" spans="1:19" x14ac:dyDescent="0.25">
      <c r="A2096" s="9" t="s">
        <v>1117</v>
      </c>
      <c r="B2096" s="9" t="s">
        <v>291</v>
      </c>
      <c r="C2096" s="4">
        <v>201003550</v>
      </c>
      <c r="D2096" s="4" t="s">
        <v>1533</v>
      </c>
      <c r="E2096" s="4" t="str">
        <f>"070472010"</f>
        <v>070472010</v>
      </c>
      <c r="F2096" s="10">
        <v>40323</v>
      </c>
      <c r="G2096" s="11">
        <v>350</v>
      </c>
      <c r="H2096" s="11">
        <v>0</v>
      </c>
      <c r="I2096" s="4"/>
      <c r="J2096" s="4"/>
      <c r="K2096" s="11">
        <v>0</v>
      </c>
      <c r="L2096" s="4"/>
      <c r="M2096" s="4"/>
      <c r="N2096" s="11">
        <v>350</v>
      </c>
      <c r="O2096" s="4" t="s">
        <v>56</v>
      </c>
      <c r="P2096" s="4" t="s">
        <v>57</v>
      </c>
      <c r="Q2096" s="11">
        <v>0</v>
      </c>
      <c r="R2096" s="4"/>
      <c r="S2096" s="12"/>
    </row>
    <row r="2097" spans="1:19" x14ac:dyDescent="0.25">
      <c r="A2097" s="9" t="s">
        <v>1117</v>
      </c>
      <c r="B2097" s="9" t="s">
        <v>291</v>
      </c>
      <c r="C2097" s="4">
        <v>201003552</v>
      </c>
      <c r="D2097" s="4" t="s">
        <v>1534</v>
      </c>
      <c r="E2097" s="4" t="str">
        <f>"070052010"</f>
        <v>070052010</v>
      </c>
      <c r="F2097" s="10">
        <v>40318</v>
      </c>
      <c r="G2097" s="11">
        <v>350</v>
      </c>
      <c r="H2097" s="11">
        <v>0</v>
      </c>
      <c r="I2097" s="4"/>
      <c r="J2097" s="4"/>
      <c r="K2097" s="11">
        <v>0</v>
      </c>
      <c r="L2097" s="4"/>
      <c r="M2097" s="4"/>
      <c r="N2097" s="11">
        <v>350</v>
      </c>
      <c r="O2097" s="4" t="s">
        <v>56</v>
      </c>
      <c r="P2097" s="4" t="s">
        <v>57</v>
      </c>
      <c r="Q2097" s="11">
        <v>0</v>
      </c>
      <c r="R2097" s="4"/>
      <c r="S2097" s="12"/>
    </row>
    <row r="2098" spans="1:19" x14ac:dyDescent="0.25">
      <c r="A2098" s="9" t="s">
        <v>1117</v>
      </c>
      <c r="B2098" s="9" t="s">
        <v>291</v>
      </c>
      <c r="C2098" s="4">
        <v>201003568</v>
      </c>
      <c r="D2098" s="4" t="s">
        <v>1246</v>
      </c>
      <c r="E2098" s="4" t="str">
        <f>"073482010"</f>
        <v>073482010</v>
      </c>
      <c r="F2098" s="10">
        <v>40324</v>
      </c>
      <c r="G2098" s="11">
        <v>368</v>
      </c>
      <c r="H2098" s="11">
        <v>0</v>
      </c>
      <c r="I2098" s="4"/>
      <c r="J2098" s="4"/>
      <c r="K2098" s="11">
        <v>0</v>
      </c>
      <c r="L2098" s="4"/>
      <c r="M2098" s="4"/>
      <c r="N2098" s="11">
        <v>368</v>
      </c>
      <c r="O2098" s="4" t="s">
        <v>56</v>
      </c>
      <c r="P2098" s="4" t="s">
        <v>57</v>
      </c>
      <c r="Q2098" s="11">
        <v>0</v>
      </c>
      <c r="R2098" s="4"/>
      <c r="S2098" s="12"/>
    </row>
    <row r="2099" spans="1:19" x14ac:dyDescent="0.25">
      <c r="A2099" s="9" t="s">
        <v>1117</v>
      </c>
      <c r="B2099" s="9" t="s">
        <v>291</v>
      </c>
      <c r="C2099" s="4">
        <v>201003569</v>
      </c>
      <c r="D2099" s="4" t="s">
        <v>1246</v>
      </c>
      <c r="E2099" s="4" t="str">
        <f>"073682010"</f>
        <v>073682010</v>
      </c>
      <c r="F2099" s="10">
        <v>40324</v>
      </c>
      <c r="G2099" s="11">
        <v>363.8</v>
      </c>
      <c r="H2099" s="11">
        <v>0</v>
      </c>
      <c r="I2099" s="4"/>
      <c r="J2099" s="4"/>
      <c r="K2099" s="11">
        <v>0</v>
      </c>
      <c r="L2099" s="4"/>
      <c r="M2099" s="4"/>
      <c r="N2099" s="11">
        <v>363.8</v>
      </c>
      <c r="O2099" s="4" t="s">
        <v>56</v>
      </c>
      <c r="P2099" s="4" t="s">
        <v>57</v>
      </c>
      <c r="Q2099" s="11">
        <v>0</v>
      </c>
      <c r="R2099" s="4"/>
      <c r="S2099" s="12"/>
    </row>
    <row r="2100" spans="1:19" x14ac:dyDescent="0.25">
      <c r="A2100" s="9" t="s">
        <v>1117</v>
      </c>
      <c r="B2100" s="9" t="s">
        <v>291</v>
      </c>
      <c r="C2100" s="4">
        <v>201003570</v>
      </c>
      <c r="D2100" s="4" t="s">
        <v>1246</v>
      </c>
      <c r="E2100" s="4" t="str">
        <f>"072812010"</f>
        <v>072812010</v>
      </c>
      <c r="F2100" s="10">
        <v>40324</v>
      </c>
      <c r="G2100" s="11">
        <v>364.2</v>
      </c>
      <c r="H2100" s="11">
        <v>0</v>
      </c>
      <c r="I2100" s="4"/>
      <c r="J2100" s="4"/>
      <c r="K2100" s="11">
        <v>0</v>
      </c>
      <c r="L2100" s="4"/>
      <c r="M2100" s="4"/>
      <c r="N2100" s="11">
        <v>364.2</v>
      </c>
      <c r="O2100" s="4" t="s">
        <v>56</v>
      </c>
      <c r="P2100" s="4" t="s">
        <v>57</v>
      </c>
      <c r="Q2100" s="11">
        <v>0</v>
      </c>
      <c r="R2100" s="4"/>
      <c r="S2100" s="12"/>
    </row>
    <row r="2101" spans="1:19" x14ac:dyDescent="0.25">
      <c r="A2101" s="9" t="s">
        <v>1117</v>
      </c>
      <c r="B2101" s="9" t="s">
        <v>291</v>
      </c>
      <c r="C2101" s="4">
        <v>201003573</v>
      </c>
      <c r="D2101" s="4" t="s">
        <v>1250</v>
      </c>
      <c r="E2101" s="4" t="str">
        <f>"070692010"</f>
        <v>070692010</v>
      </c>
      <c r="F2101" s="10">
        <v>40319</v>
      </c>
      <c r="G2101" s="11">
        <v>350</v>
      </c>
      <c r="H2101" s="11">
        <v>0</v>
      </c>
      <c r="I2101" s="4"/>
      <c r="J2101" s="4"/>
      <c r="K2101" s="11">
        <v>0</v>
      </c>
      <c r="L2101" s="4"/>
      <c r="M2101" s="4"/>
      <c r="N2101" s="11">
        <v>350</v>
      </c>
      <c r="O2101" s="4" t="s">
        <v>56</v>
      </c>
      <c r="P2101" s="4" t="s">
        <v>57</v>
      </c>
      <c r="Q2101" s="11">
        <v>0</v>
      </c>
      <c r="R2101" s="4"/>
      <c r="S2101" s="12"/>
    </row>
    <row r="2102" spans="1:19" x14ac:dyDescent="0.25">
      <c r="A2102" s="9" t="s">
        <v>1117</v>
      </c>
      <c r="B2102" s="9" t="s">
        <v>291</v>
      </c>
      <c r="C2102" s="4">
        <v>201003575</v>
      </c>
      <c r="D2102" s="4" t="s">
        <v>1535</v>
      </c>
      <c r="E2102" s="4" t="str">
        <f>"074162010"</f>
        <v>074162010</v>
      </c>
      <c r="F2102" s="10">
        <v>40332</v>
      </c>
      <c r="G2102" s="11">
        <v>366.47</v>
      </c>
      <c r="H2102" s="11">
        <v>0</v>
      </c>
      <c r="I2102" s="4"/>
      <c r="J2102" s="4"/>
      <c r="K2102" s="11">
        <v>0</v>
      </c>
      <c r="L2102" s="4"/>
      <c r="M2102" s="4"/>
      <c r="N2102" s="11">
        <v>366.47</v>
      </c>
      <c r="O2102" s="4" t="s">
        <v>56</v>
      </c>
      <c r="P2102" s="4" t="s">
        <v>57</v>
      </c>
      <c r="Q2102" s="11">
        <v>0</v>
      </c>
      <c r="R2102" s="4"/>
      <c r="S2102" s="12"/>
    </row>
    <row r="2103" spans="1:19" x14ac:dyDescent="0.25">
      <c r="A2103" s="9" t="s">
        <v>1117</v>
      </c>
      <c r="B2103" s="9" t="s">
        <v>291</v>
      </c>
      <c r="C2103" s="4">
        <v>201003576</v>
      </c>
      <c r="D2103" s="4" t="s">
        <v>1536</v>
      </c>
      <c r="E2103" s="4" t="str">
        <f>"072852010"</f>
        <v>072852010</v>
      </c>
      <c r="F2103" s="10">
        <v>40324</v>
      </c>
      <c r="G2103" s="11">
        <v>350</v>
      </c>
      <c r="H2103" s="11">
        <v>0</v>
      </c>
      <c r="I2103" s="4"/>
      <c r="J2103" s="4"/>
      <c r="K2103" s="11">
        <v>0</v>
      </c>
      <c r="L2103" s="4"/>
      <c r="M2103" s="4"/>
      <c r="N2103" s="11">
        <v>350</v>
      </c>
      <c r="O2103" s="4" t="s">
        <v>56</v>
      </c>
      <c r="P2103" s="4" t="s">
        <v>57</v>
      </c>
      <c r="Q2103" s="11">
        <v>0</v>
      </c>
      <c r="R2103" s="4"/>
      <c r="S2103" s="12"/>
    </row>
    <row r="2104" spans="1:19" x14ac:dyDescent="0.25">
      <c r="A2104" s="9" t="s">
        <v>1117</v>
      </c>
      <c r="B2104" s="9" t="s">
        <v>291</v>
      </c>
      <c r="C2104" s="4">
        <v>201003587</v>
      </c>
      <c r="D2104" s="4" t="s">
        <v>1126</v>
      </c>
      <c r="E2104" s="4" t="str">
        <f>"071112010"</f>
        <v>071112010</v>
      </c>
      <c r="F2104" s="10">
        <v>40318</v>
      </c>
      <c r="G2104" s="11">
        <v>350</v>
      </c>
      <c r="H2104" s="11">
        <v>0</v>
      </c>
      <c r="I2104" s="4"/>
      <c r="J2104" s="4"/>
      <c r="K2104" s="11">
        <v>0</v>
      </c>
      <c r="L2104" s="4"/>
      <c r="M2104" s="4"/>
      <c r="N2104" s="11">
        <v>350</v>
      </c>
      <c r="O2104" s="4" t="s">
        <v>56</v>
      </c>
      <c r="P2104" s="4" t="s">
        <v>57</v>
      </c>
      <c r="Q2104" s="11">
        <v>0</v>
      </c>
      <c r="R2104" s="4"/>
      <c r="S2104" s="12"/>
    </row>
    <row r="2105" spans="1:19" x14ac:dyDescent="0.25">
      <c r="A2105" s="9" t="s">
        <v>1117</v>
      </c>
      <c r="B2105" s="9" t="s">
        <v>291</v>
      </c>
      <c r="C2105" s="4">
        <v>201003589</v>
      </c>
      <c r="D2105" s="4" t="s">
        <v>1537</v>
      </c>
      <c r="E2105" s="4" t="str">
        <f>"070852010"</f>
        <v>070852010</v>
      </c>
      <c r="F2105" s="10">
        <v>40319</v>
      </c>
      <c r="G2105" s="11">
        <v>350</v>
      </c>
      <c r="H2105" s="11">
        <v>0</v>
      </c>
      <c r="I2105" s="4"/>
      <c r="J2105" s="4"/>
      <c r="K2105" s="11">
        <v>0</v>
      </c>
      <c r="L2105" s="4"/>
      <c r="M2105" s="4"/>
      <c r="N2105" s="11">
        <v>350</v>
      </c>
      <c r="O2105" s="4" t="s">
        <v>56</v>
      </c>
      <c r="P2105" s="4" t="s">
        <v>57</v>
      </c>
      <c r="Q2105" s="11">
        <v>0</v>
      </c>
      <c r="R2105" s="4"/>
      <c r="S2105" s="12"/>
    </row>
    <row r="2106" spans="1:19" x14ac:dyDescent="0.25">
      <c r="A2106" s="9" t="s">
        <v>1117</v>
      </c>
      <c r="B2106" s="9" t="s">
        <v>291</v>
      </c>
      <c r="C2106" s="4">
        <v>201003596</v>
      </c>
      <c r="D2106" s="4" t="s">
        <v>1226</v>
      </c>
      <c r="E2106" s="4" t="str">
        <f>"071292010"</f>
        <v>071292010</v>
      </c>
      <c r="F2106" s="10">
        <v>40324</v>
      </c>
      <c r="G2106" s="11">
        <v>350</v>
      </c>
      <c r="H2106" s="11">
        <v>0</v>
      </c>
      <c r="I2106" s="4"/>
      <c r="J2106" s="4"/>
      <c r="K2106" s="11">
        <v>0</v>
      </c>
      <c r="L2106" s="4"/>
      <c r="M2106" s="4"/>
      <c r="N2106" s="11">
        <v>350</v>
      </c>
      <c r="O2106" s="4" t="s">
        <v>56</v>
      </c>
      <c r="P2106" s="4" t="s">
        <v>57</v>
      </c>
      <c r="Q2106" s="11">
        <v>0</v>
      </c>
      <c r="R2106" s="4"/>
      <c r="S2106" s="12"/>
    </row>
    <row r="2107" spans="1:19" x14ac:dyDescent="0.25">
      <c r="A2107" s="9" t="s">
        <v>1117</v>
      </c>
      <c r="B2107" s="9" t="s">
        <v>291</v>
      </c>
      <c r="C2107" s="4">
        <v>201003600</v>
      </c>
      <c r="D2107" s="4" t="s">
        <v>1315</v>
      </c>
      <c r="E2107" s="4" t="str">
        <f>"071612010"</f>
        <v>071612010</v>
      </c>
      <c r="F2107" s="10">
        <v>40324</v>
      </c>
      <c r="G2107" s="11">
        <v>350</v>
      </c>
      <c r="H2107" s="11">
        <v>0</v>
      </c>
      <c r="I2107" s="4"/>
      <c r="J2107" s="4"/>
      <c r="K2107" s="11">
        <v>0</v>
      </c>
      <c r="L2107" s="4"/>
      <c r="M2107" s="4"/>
      <c r="N2107" s="11">
        <v>350</v>
      </c>
      <c r="O2107" s="4" t="s">
        <v>56</v>
      </c>
      <c r="P2107" s="4" t="s">
        <v>57</v>
      </c>
      <c r="Q2107" s="11">
        <v>0</v>
      </c>
      <c r="R2107" s="4"/>
      <c r="S2107" s="12"/>
    </row>
    <row r="2108" spans="1:19" x14ac:dyDescent="0.25">
      <c r="A2108" s="9" t="s">
        <v>1117</v>
      </c>
      <c r="B2108" s="9" t="s">
        <v>1117</v>
      </c>
      <c r="C2108" s="4">
        <v>201003606</v>
      </c>
      <c r="D2108" s="4" t="s">
        <v>1538</v>
      </c>
      <c r="E2108" s="4" t="str">
        <f>"071512010"</f>
        <v>071512010</v>
      </c>
      <c r="F2108" s="10">
        <v>40324</v>
      </c>
      <c r="G2108" s="11">
        <v>350</v>
      </c>
      <c r="H2108" s="11">
        <v>0</v>
      </c>
      <c r="I2108" s="4"/>
      <c r="J2108" s="4"/>
      <c r="K2108" s="11">
        <v>0</v>
      </c>
      <c r="L2108" s="4"/>
      <c r="M2108" s="4"/>
      <c r="N2108" s="11">
        <v>350</v>
      </c>
      <c r="O2108" s="4" t="s">
        <v>56</v>
      </c>
      <c r="P2108" s="4" t="s">
        <v>57</v>
      </c>
      <c r="Q2108" s="11">
        <v>0</v>
      </c>
      <c r="R2108" s="4"/>
      <c r="S2108" s="12"/>
    </row>
    <row r="2109" spans="1:19" x14ac:dyDescent="0.25">
      <c r="A2109" s="9" t="s">
        <v>1117</v>
      </c>
      <c r="B2109" s="9" t="s">
        <v>291</v>
      </c>
      <c r="C2109" s="4">
        <v>201003627</v>
      </c>
      <c r="D2109" s="4" t="s">
        <v>1539</v>
      </c>
      <c r="E2109" s="4" t="str">
        <f>"071672010"</f>
        <v>071672010</v>
      </c>
      <c r="F2109" s="10">
        <v>40319</v>
      </c>
      <c r="G2109" s="11">
        <v>350</v>
      </c>
      <c r="H2109" s="11">
        <v>0</v>
      </c>
      <c r="I2109" s="4"/>
      <c r="J2109" s="4"/>
      <c r="K2109" s="11">
        <v>0</v>
      </c>
      <c r="L2109" s="4"/>
      <c r="M2109" s="4"/>
      <c r="N2109" s="11">
        <v>350</v>
      </c>
      <c r="O2109" s="4" t="s">
        <v>56</v>
      </c>
      <c r="P2109" s="4" t="s">
        <v>57</v>
      </c>
      <c r="Q2109" s="11">
        <v>0</v>
      </c>
      <c r="R2109" s="4"/>
      <c r="S2109" s="12"/>
    </row>
    <row r="2110" spans="1:19" x14ac:dyDescent="0.25">
      <c r="A2110" s="9" t="s">
        <v>1117</v>
      </c>
      <c r="B2110" s="9" t="s">
        <v>291</v>
      </c>
      <c r="C2110" s="4">
        <v>201003631</v>
      </c>
      <c r="D2110" s="4" t="s">
        <v>1317</v>
      </c>
      <c r="E2110" s="4" t="str">
        <f>"071692010"</f>
        <v>071692010</v>
      </c>
      <c r="F2110" s="10">
        <v>40324</v>
      </c>
      <c r="G2110" s="11">
        <v>365</v>
      </c>
      <c r="H2110" s="11">
        <v>0</v>
      </c>
      <c r="I2110" s="4"/>
      <c r="J2110" s="4"/>
      <c r="K2110" s="11">
        <v>0</v>
      </c>
      <c r="L2110" s="4"/>
      <c r="M2110" s="4"/>
      <c r="N2110" s="11">
        <v>365</v>
      </c>
      <c r="O2110" s="4" t="s">
        <v>56</v>
      </c>
      <c r="P2110" s="4" t="s">
        <v>57</v>
      </c>
      <c r="Q2110" s="11">
        <v>0</v>
      </c>
      <c r="R2110" s="4"/>
      <c r="S2110" s="12"/>
    </row>
    <row r="2111" spans="1:19" x14ac:dyDescent="0.25">
      <c r="A2111" s="9" t="s">
        <v>1117</v>
      </c>
      <c r="B2111" s="9" t="s">
        <v>291</v>
      </c>
      <c r="C2111" s="4">
        <v>201003655</v>
      </c>
      <c r="D2111" s="4" t="s">
        <v>1147</v>
      </c>
      <c r="E2111" s="4" t="str">
        <f>"075442010"</f>
        <v>075442010</v>
      </c>
      <c r="F2111" s="10">
        <v>40331</v>
      </c>
      <c r="G2111" s="11">
        <v>366.47</v>
      </c>
      <c r="H2111" s="11">
        <v>0</v>
      </c>
      <c r="I2111" s="4"/>
      <c r="J2111" s="4"/>
      <c r="K2111" s="11">
        <v>0</v>
      </c>
      <c r="L2111" s="4"/>
      <c r="M2111" s="4"/>
      <c r="N2111" s="11">
        <v>366.47</v>
      </c>
      <c r="O2111" s="4" t="s">
        <v>56</v>
      </c>
      <c r="P2111" s="4" t="s">
        <v>57</v>
      </c>
      <c r="Q2111" s="11">
        <v>0</v>
      </c>
      <c r="R2111" s="4"/>
      <c r="S2111" s="12"/>
    </row>
    <row r="2112" spans="1:19" x14ac:dyDescent="0.25">
      <c r="A2112" s="9" t="s">
        <v>1117</v>
      </c>
      <c r="B2112" s="9" t="s">
        <v>291</v>
      </c>
      <c r="C2112" s="4">
        <v>201003660</v>
      </c>
      <c r="D2112" s="4"/>
      <c r="E2112" s="4" t="str">
        <f>"075502010"</f>
        <v>075502010</v>
      </c>
      <c r="F2112" s="10">
        <v>40332</v>
      </c>
      <c r="G2112" s="11">
        <v>366.47</v>
      </c>
      <c r="H2112" s="11">
        <v>0</v>
      </c>
      <c r="I2112" s="4"/>
      <c r="J2112" s="4"/>
      <c r="K2112" s="11">
        <v>0</v>
      </c>
      <c r="L2112" s="4"/>
      <c r="M2112" s="4"/>
      <c r="N2112" s="11">
        <v>366.47</v>
      </c>
      <c r="O2112" s="4" t="s">
        <v>56</v>
      </c>
      <c r="P2112" s="4" t="s">
        <v>57</v>
      </c>
      <c r="Q2112" s="11">
        <v>0</v>
      </c>
      <c r="R2112" s="4"/>
      <c r="S2112" s="12"/>
    </row>
    <row r="2113" spans="1:19" x14ac:dyDescent="0.25">
      <c r="A2113" s="9" t="s">
        <v>1117</v>
      </c>
      <c r="B2113" s="9" t="s">
        <v>291</v>
      </c>
      <c r="C2113" s="4">
        <v>201003668</v>
      </c>
      <c r="D2113" s="4"/>
      <c r="E2113" s="4" t="str">
        <f>"072712010"</f>
        <v>072712010</v>
      </c>
      <c r="F2113" s="10">
        <v>40324</v>
      </c>
      <c r="G2113" s="11">
        <v>350</v>
      </c>
      <c r="H2113" s="11">
        <v>0</v>
      </c>
      <c r="I2113" s="4"/>
      <c r="J2113" s="4"/>
      <c r="K2113" s="11">
        <v>0</v>
      </c>
      <c r="L2113" s="4"/>
      <c r="M2113" s="4"/>
      <c r="N2113" s="11">
        <v>350</v>
      </c>
      <c r="O2113" s="4" t="s">
        <v>56</v>
      </c>
      <c r="P2113" s="4" t="s">
        <v>57</v>
      </c>
      <c r="Q2113" s="11">
        <v>0</v>
      </c>
      <c r="R2113" s="4"/>
      <c r="S2113" s="12"/>
    </row>
    <row r="2114" spans="1:19" x14ac:dyDescent="0.25">
      <c r="A2114" s="9" t="s">
        <v>1117</v>
      </c>
      <c r="B2114" s="9" t="s">
        <v>291</v>
      </c>
      <c r="C2114" s="4">
        <v>201003673</v>
      </c>
      <c r="D2114" s="4" t="s">
        <v>352</v>
      </c>
      <c r="E2114" s="4" t="str">
        <f>"072752010"</f>
        <v>072752010</v>
      </c>
      <c r="F2114" s="10">
        <v>40324</v>
      </c>
      <c r="G2114" s="11">
        <v>350</v>
      </c>
      <c r="H2114" s="11">
        <v>0</v>
      </c>
      <c r="I2114" s="4"/>
      <c r="J2114" s="4"/>
      <c r="K2114" s="11">
        <v>0</v>
      </c>
      <c r="L2114" s="4"/>
      <c r="M2114" s="4"/>
      <c r="N2114" s="11">
        <v>350</v>
      </c>
      <c r="O2114" s="4" t="s">
        <v>56</v>
      </c>
      <c r="P2114" s="4" t="s">
        <v>57</v>
      </c>
      <c r="Q2114" s="11">
        <v>0</v>
      </c>
      <c r="R2114" s="4"/>
      <c r="S2114" s="12"/>
    </row>
    <row r="2115" spans="1:19" x14ac:dyDescent="0.25">
      <c r="A2115" s="9" t="s">
        <v>1117</v>
      </c>
      <c r="B2115" s="9" t="s">
        <v>291</v>
      </c>
      <c r="C2115" s="4">
        <v>201003679</v>
      </c>
      <c r="D2115" s="4" t="s">
        <v>1540</v>
      </c>
      <c r="E2115" s="4" t="str">
        <f>"073192010"</f>
        <v>073192010</v>
      </c>
      <c r="F2115" s="10">
        <v>40324</v>
      </c>
      <c r="G2115" s="11">
        <v>350</v>
      </c>
      <c r="H2115" s="11">
        <v>0</v>
      </c>
      <c r="I2115" s="4"/>
      <c r="J2115" s="4"/>
      <c r="K2115" s="11">
        <v>0</v>
      </c>
      <c r="L2115" s="4"/>
      <c r="M2115" s="4"/>
      <c r="N2115" s="11">
        <v>350</v>
      </c>
      <c r="O2115" s="4" t="s">
        <v>56</v>
      </c>
      <c r="P2115" s="4" t="s">
        <v>57</v>
      </c>
      <c r="Q2115" s="11">
        <v>0</v>
      </c>
      <c r="R2115" s="4"/>
      <c r="S2115" s="12"/>
    </row>
    <row r="2116" spans="1:19" x14ac:dyDescent="0.25">
      <c r="A2116" s="9" t="s">
        <v>1117</v>
      </c>
      <c r="B2116" s="9" t="s">
        <v>291</v>
      </c>
      <c r="C2116" s="4">
        <v>201003681</v>
      </c>
      <c r="D2116" s="4" t="s">
        <v>1541</v>
      </c>
      <c r="E2116" s="4" t="str">
        <f>"073212010"</f>
        <v>073212010</v>
      </c>
      <c r="F2116" s="10">
        <v>40324</v>
      </c>
      <c r="G2116" s="11">
        <v>350</v>
      </c>
      <c r="H2116" s="11">
        <v>0</v>
      </c>
      <c r="I2116" s="4"/>
      <c r="J2116" s="4"/>
      <c r="K2116" s="11">
        <v>0</v>
      </c>
      <c r="L2116" s="4"/>
      <c r="M2116" s="4"/>
      <c r="N2116" s="11">
        <v>350</v>
      </c>
      <c r="O2116" s="4" t="s">
        <v>56</v>
      </c>
      <c r="P2116" s="4" t="s">
        <v>57</v>
      </c>
      <c r="Q2116" s="11">
        <v>0</v>
      </c>
      <c r="R2116" s="4"/>
      <c r="S2116" s="12"/>
    </row>
    <row r="2117" spans="1:19" x14ac:dyDescent="0.25">
      <c r="A2117" s="9" t="s">
        <v>1117</v>
      </c>
      <c r="B2117" s="9" t="s">
        <v>291</v>
      </c>
      <c r="C2117" s="4">
        <v>201003682</v>
      </c>
      <c r="D2117" s="4" t="s">
        <v>1542</v>
      </c>
      <c r="E2117" s="4" t="str">
        <f>"074002010"</f>
        <v>074002010</v>
      </c>
      <c r="F2117" s="10">
        <v>40332</v>
      </c>
      <c r="G2117" s="11">
        <v>805</v>
      </c>
      <c r="H2117" s="11">
        <v>0</v>
      </c>
      <c r="I2117" s="4"/>
      <c r="J2117" s="4"/>
      <c r="K2117" s="11">
        <v>0</v>
      </c>
      <c r="L2117" s="4"/>
      <c r="M2117" s="4"/>
      <c r="N2117" s="11">
        <v>805</v>
      </c>
      <c r="O2117" s="4" t="s">
        <v>56</v>
      </c>
      <c r="P2117" s="4" t="s">
        <v>57</v>
      </c>
      <c r="Q2117" s="11">
        <v>0</v>
      </c>
      <c r="R2117" s="4"/>
      <c r="S2117" s="12"/>
    </row>
    <row r="2118" spans="1:19" x14ac:dyDescent="0.25">
      <c r="A2118" s="9" t="s">
        <v>1117</v>
      </c>
      <c r="B2118" s="9" t="s">
        <v>291</v>
      </c>
      <c r="C2118" s="4">
        <v>201003688</v>
      </c>
      <c r="D2118" s="4" t="s">
        <v>1543</v>
      </c>
      <c r="E2118" s="4" t="str">
        <f>"073902010"</f>
        <v>073902010</v>
      </c>
      <c r="F2118" s="10">
        <v>40332</v>
      </c>
      <c r="G2118" s="11">
        <v>308.7</v>
      </c>
      <c r="H2118" s="11">
        <v>0</v>
      </c>
      <c r="I2118" s="4"/>
      <c r="J2118" s="4"/>
      <c r="K2118" s="11">
        <v>0</v>
      </c>
      <c r="L2118" s="4"/>
      <c r="M2118" s="4"/>
      <c r="N2118" s="11">
        <v>308.7</v>
      </c>
      <c r="O2118" s="4" t="s">
        <v>56</v>
      </c>
      <c r="P2118" s="4" t="s">
        <v>57</v>
      </c>
      <c r="Q2118" s="11">
        <v>0</v>
      </c>
      <c r="R2118" s="4"/>
      <c r="S2118" s="12"/>
    </row>
    <row r="2119" spans="1:19" x14ac:dyDescent="0.25">
      <c r="A2119" s="9" t="s">
        <v>1117</v>
      </c>
      <c r="B2119" s="9" t="s">
        <v>291</v>
      </c>
      <c r="C2119" s="4">
        <v>201003689</v>
      </c>
      <c r="D2119" s="4" t="s">
        <v>1544</v>
      </c>
      <c r="E2119" s="4" t="str">
        <f>"074062010"</f>
        <v>074062010</v>
      </c>
      <c r="F2119" s="10">
        <v>40332</v>
      </c>
      <c r="G2119" s="11">
        <v>366.47</v>
      </c>
      <c r="H2119" s="11">
        <v>0</v>
      </c>
      <c r="I2119" s="4"/>
      <c r="J2119" s="4"/>
      <c r="K2119" s="11">
        <v>0</v>
      </c>
      <c r="L2119" s="4"/>
      <c r="M2119" s="4"/>
      <c r="N2119" s="11">
        <v>366.47</v>
      </c>
      <c r="O2119" s="4" t="s">
        <v>56</v>
      </c>
      <c r="P2119" s="4" t="s">
        <v>57</v>
      </c>
      <c r="Q2119" s="11">
        <v>0</v>
      </c>
      <c r="R2119" s="4"/>
      <c r="S2119" s="12"/>
    </row>
    <row r="2120" spans="1:19" x14ac:dyDescent="0.25">
      <c r="A2120" s="9" t="s">
        <v>1117</v>
      </c>
      <c r="B2120" s="9" t="s">
        <v>291</v>
      </c>
      <c r="C2120" s="4">
        <v>201003690</v>
      </c>
      <c r="D2120" s="4" t="s">
        <v>1545</v>
      </c>
      <c r="E2120" s="4" t="str">
        <f>"091762010"</f>
        <v>091762010</v>
      </c>
      <c r="F2120" s="10">
        <v>40368</v>
      </c>
      <c r="G2120" s="11">
        <v>81.7</v>
      </c>
      <c r="H2120" s="11">
        <v>0</v>
      </c>
      <c r="I2120" s="4"/>
      <c r="J2120" s="4"/>
      <c r="K2120" s="11">
        <v>0</v>
      </c>
      <c r="L2120" s="4"/>
      <c r="M2120" s="4"/>
      <c r="N2120" s="11">
        <v>81.7</v>
      </c>
      <c r="O2120" s="4" t="s">
        <v>56</v>
      </c>
      <c r="P2120" s="4" t="s">
        <v>57</v>
      </c>
      <c r="Q2120" s="11">
        <v>0</v>
      </c>
      <c r="R2120" s="4"/>
      <c r="S2120" s="12"/>
    </row>
    <row r="2121" spans="1:19" x14ac:dyDescent="0.25">
      <c r="A2121" s="9" t="s">
        <v>1117</v>
      </c>
      <c r="B2121" s="9" t="s">
        <v>291</v>
      </c>
      <c r="C2121" s="4">
        <v>201003692</v>
      </c>
      <c r="D2121" s="4" t="s">
        <v>1339</v>
      </c>
      <c r="E2121" s="4" t="str">
        <f>"091772010"</f>
        <v>091772010</v>
      </c>
      <c r="F2121" s="10">
        <v>40368</v>
      </c>
      <c r="G2121" s="11">
        <v>0</v>
      </c>
      <c r="H2121" s="11">
        <v>0</v>
      </c>
      <c r="I2121" s="4"/>
      <c r="J2121" s="4"/>
      <c r="K2121" s="11">
        <v>0</v>
      </c>
      <c r="L2121" s="4"/>
      <c r="M2121" s="4"/>
      <c r="N2121" s="11">
        <v>14</v>
      </c>
      <c r="O2121" s="4" t="s">
        <v>56</v>
      </c>
      <c r="P2121" s="4" t="s">
        <v>57</v>
      </c>
      <c r="Q2121" s="11">
        <v>0</v>
      </c>
      <c r="R2121" s="4"/>
      <c r="S2121" s="12"/>
    </row>
    <row r="2122" spans="1:19" x14ac:dyDescent="0.25">
      <c r="A2122" s="9" t="s">
        <v>1117</v>
      </c>
      <c r="B2122" s="9" t="s">
        <v>291</v>
      </c>
      <c r="C2122" s="4">
        <v>201003694</v>
      </c>
      <c r="D2122" s="4" t="s">
        <v>1339</v>
      </c>
      <c r="E2122" s="4" t="str">
        <f>"075022010"</f>
        <v>075022010</v>
      </c>
      <c r="F2122" s="10">
        <v>40331</v>
      </c>
      <c r="G2122" s="11">
        <v>19.7</v>
      </c>
      <c r="H2122" s="11">
        <v>0</v>
      </c>
      <c r="I2122" s="4"/>
      <c r="J2122" s="4"/>
      <c r="K2122" s="11">
        <v>0</v>
      </c>
      <c r="L2122" s="4"/>
      <c r="M2122" s="4"/>
      <c r="N2122" s="11">
        <v>19.7</v>
      </c>
      <c r="O2122" s="4" t="s">
        <v>56</v>
      </c>
      <c r="P2122" s="4" t="s">
        <v>57</v>
      </c>
      <c r="Q2122" s="11">
        <v>0</v>
      </c>
      <c r="R2122" s="4"/>
      <c r="S2122" s="12"/>
    </row>
    <row r="2123" spans="1:19" x14ac:dyDescent="0.25">
      <c r="A2123" s="9" t="s">
        <v>1117</v>
      </c>
      <c r="B2123" s="9" t="s">
        <v>291</v>
      </c>
      <c r="C2123" s="4">
        <v>201003698</v>
      </c>
      <c r="D2123" s="4"/>
      <c r="E2123" s="4" t="str">
        <f>"091792010"</f>
        <v>091792010</v>
      </c>
      <c r="F2123" s="10">
        <v>40368</v>
      </c>
      <c r="G2123" s="11">
        <v>362.4</v>
      </c>
      <c r="H2123" s="11">
        <v>0</v>
      </c>
      <c r="I2123" s="4"/>
      <c r="J2123" s="4"/>
      <c r="K2123" s="11">
        <v>0</v>
      </c>
      <c r="L2123" s="4"/>
      <c r="M2123" s="4"/>
      <c r="N2123" s="11">
        <v>362.4</v>
      </c>
      <c r="O2123" s="4" t="s">
        <v>56</v>
      </c>
      <c r="P2123" s="4" t="s">
        <v>57</v>
      </c>
      <c r="Q2123" s="11">
        <v>0</v>
      </c>
      <c r="R2123" s="4"/>
      <c r="S2123" s="12"/>
    </row>
    <row r="2124" spans="1:19" x14ac:dyDescent="0.25">
      <c r="A2124" s="9" t="s">
        <v>1117</v>
      </c>
      <c r="B2124" s="9" t="s">
        <v>291</v>
      </c>
      <c r="C2124" s="4">
        <v>201003699</v>
      </c>
      <c r="D2124" s="4" t="s">
        <v>1339</v>
      </c>
      <c r="E2124" s="4" t="str">
        <f>"074262010"</f>
        <v>074262010</v>
      </c>
      <c r="F2124" s="10">
        <v>40331</v>
      </c>
      <c r="G2124" s="11">
        <v>8.3000000000000007</v>
      </c>
      <c r="H2124" s="11">
        <v>0</v>
      </c>
      <c r="I2124" s="4"/>
      <c r="J2124" s="4"/>
      <c r="K2124" s="11">
        <v>0</v>
      </c>
      <c r="L2124" s="4"/>
      <c r="M2124" s="4"/>
      <c r="N2124" s="11">
        <v>8.3000000000000007</v>
      </c>
      <c r="O2124" s="4" t="s">
        <v>56</v>
      </c>
      <c r="P2124" s="4" t="s">
        <v>57</v>
      </c>
      <c r="Q2124" s="11">
        <v>0</v>
      </c>
      <c r="R2124" s="4"/>
      <c r="S2124" s="12"/>
    </row>
    <row r="2125" spans="1:19" x14ac:dyDescent="0.25">
      <c r="A2125" s="9" t="s">
        <v>1117</v>
      </c>
      <c r="B2125" s="9" t="s">
        <v>291</v>
      </c>
      <c r="C2125" s="4">
        <v>201003700</v>
      </c>
      <c r="D2125" s="4"/>
      <c r="E2125" s="4" t="str">
        <f>"074322010"</f>
        <v>074322010</v>
      </c>
      <c r="F2125" s="10">
        <v>40331</v>
      </c>
      <c r="G2125" s="11">
        <v>350</v>
      </c>
      <c r="H2125" s="11">
        <v>0</v>
      </c>
      <c r="I2125" s="4"/>
      <c r="J2125" s="4"/>
      <c r="K2125" s="11">
        <v>0</v>
      </c>
      <c r="L2125" s="4"/>
      <c r="M2125" s="4"/>
      <c r="N2125" s="11">
        <v>350</v>
      </c>
      <c r="O2125" s="4" t="s">
        <v>56</v>
      </c>
      <c r="P2125" s="4" t="s">
        <v>57</v>
      </c>
      <c r="Q2125" s="11">
        <v>0</v>
      </c>
      <c r="R2125" s="4"/>
      <c r="S2125" s="12"/>
    </row>
    <row r="2126" spans="1:19" x14ac:dyDescent="0.25">
      <c r="A2126" s="9" t="s">
        <v>1117</v>
      </c>
      <c r="B2126" s="9" t="s">
        <v>291</v>
      </c>
      <c r="C2126" s="4">
        <v>201003701</v>
      </c>
      <c r="D2126" s="4" t="s">
        <v>1546</v>
      </c>
      <c r="E2126" s="4" t="str">
        <f>"076432010"</f>
        <v>076432010</v>
      </c>
      <c r="F2126" s="10">
        <v>40333</v>
      </c>
      <c r="G2126" s="11">
        <v>350</v>
      </c>
      <c r="H2126" s="11">
        <v>0</v>
      </c>
      <c r="I2126" s="4"/>
      <c r="J2126" s="4"/>
      <c r="K2126" s="11">
        <v>0</v>
      </c>
      <c r="L2126" s="4"/>
      <c r="M2126" s="4"/>
      <c r="N2126" s="11">
        <v>350</v>
      </c>
      <c r="O2126" s="4" t="s">
        <v>56</v>
      </c>
      <c r="P2126" s="4" t="s">
        <v>57</v>
      </c>
      <c r="Q2126" s="11">
        <v>0</v>
      </c>
      <c r="R2126" s="4"/>
      <c r="S2126" s="12"/>
    </row>
    <row r="2127" spans="1:19" x14ac:dyDescent="0.25">
      <c r="A2127" s="9" t="s">
        <v>1117</v>
      </c>
      <c r="B2127" s="9" t="s">
        <v>291</v>
      </c>
      <c r="C2127" s="4">
        <v>201003708</v>
      </c>
      <c r="D2127" s="4" t="s">
        <v>1355</v>
      </c>
      <c r="E2127" s="4" t="str">
        <f>"075682010"</f>
        <v>075682010</v>
      </c>
      <c r="F2127" s="10">
        <v>40331</v>
      </c>
      <c r="G2127" s="11">
        <v>350</v>
      </c>
      <c r="H2127" s="11">
        <v>0</v>
      </c>
      <c r="I2127" s="4"/>
      <c r="J2127" s="4"/>
      <c r="K2127" s="11">
        <v>0</v>
      </c>
      <c r="L2127" s="4"/>
      <c r="M2127" s="4"/>
      <c r="N2127" s="11">
        <v>350</v>
      </c>
      <c r="O2127" s="4" t="s">
        <v>56</v>
      </c>
      <c r="P2127" s="4" t="s">
        <v>57</v>
      </c>
      <c r="Q2127" s="11">
        <v>0</v>
      </c>
      <c r="R2127" s="4"/>
      <c r="S2127" s="12"/>
    </row>
    <row r="2128" spans="1:19" x14ac:dyDescent="0.25">
      <c r="A2128" s="9" t="s">
        <v>1117</v>
      </c>
      <c r="B2128" s="9" t="s">
        <v>291</v>
      </c>
      <c r="C2128" s="4">
        <v>201003709</v>
      </c>
      <c r="D2128" s="4" t="s">
        <v>1315</v>
      </c>
      <c r="E2128" s="4" t="str">
        <f>"073522010"</f>
        <v>073522010</v>
      </c>
      <c r="F2128" s="10">
        <v>40324</v>
      </c>
      <c r="G2128" s="11">
        <v>350</v>
      </c>
      <c r="H2128" s="11">
        <v>0</v>
      </c>
      <c r="I2128" s="4"/>
      <c r="J2128" s="4"/>
      <c r="K2128" s="11">
        <v>0</v>
      </c>
      <c r="L2128" s="4"/>
      <c r="M2128" s="4"/>
      <c r="N2128" s="11">
        <v>350</v>
      </c>
      <c r="O2128" s="4" t="s">
        <v>56</v>
      </c>
      <c r="P2128" s="4" t="s">
        <v>57</v>
      </c>
      <c r="Q2128" s="11">
        <v>0</v>
      </c>
      <c r="R2128" s="4"/>
      <c r="S2128" s="12"/>
    </row>
    <row r="2129" spans="1:19" x14ac:dyDescent="0.25">
      <c r="A2129" s="9" t="s">
        <v>1117</v>
      </c>
      <c r="B2129" s="9" t="s">
        <v>291</v>
      </c>
      <c r="C2129" s="4">
        <v>201003721</v>
      </c>
      <c r="D2129" s="4" t="s">
        <v>1547</v>
      </c>
      <c r="E2129" s="4" t="str">
        <f>"073722010"</f>
        <v>073722010</v>
      </c>
      <c r="F2129" s="10">
        <v>40324</v>
      </c>
      <c r="G2129" s="11">
        <v>350</v>
      </c>
      <c r="H2129" s="11">
        <v>0</v>
      </c>
      <c r="I2129" s="4"/>
      <c r="J2129" s="4"/>
      <c r="K2129" s="11">
        <v>0</v>
      </c>
      <c r="L2129" s="4"/>
      <c r="M2129" s="4"/>
      <c r="N2129" s="11">
        <v>350</v>
      </c>
      <c r="O2129" s="4" t="s">
        <v>56</v>
      </c>
      <c r="P2129" s="4" t="s">
        <v>57</v>
      </c>
      <c r="Q2129" s="11">
        <v>0</v>
      </c>
      <c r="R2129" s="4"/>
      <c r="S2129" s="12"/>
    </row>
    <row r="2130" spans="1:19" x14ac:dyDescent="0.25">
      <c r="A2130" s="9" t="s">
        <v>1117</v>
      </c>
      <c r="B2130" s="9" t="s">
        <v>291</v>
      </c>
      <c r="C2130" s="4">
        <v>201003727</v>
      </c>
      <c r="D2130" s="4" t="s">
        <v>1164</v>
      </c>
      <c r="E2130" s="4" t="str">
        <f>"073502010"</f>
        <v>073502010</v>
      </c>
      <c r="F2130" s="10">
        <v>40324</v>
      </c>
      <c r="G2130" s="11">
        <v>350</v>
      </c>
      <c r="H2130" s="11">
        <v>0</v>
      </c>
      <c r="I2130" s="4"/>
      <c r="J2130" s="4"/>
      <c r="K2130" s="11">
        <v>0</v>
      </c>
      <c r="L2130" s="4"/>
      <c r="M2130" s="4"/>
      <c r="N2130" s="11">
        <v>350</v>
      </c>
      <c r="O2130" s="4" t="s">
        <v>56</v>
      </c>
      <c r="P2130" s="4" t="s">
        <v>57</v>
      </c>
      <c r="Q2130" s="11">
        <v>0</v>
      </c>
      <c r="R2130" s="4"/>
      <c r="S2130" s="12"/>
    </row>
    <row r="2131" spans="1:19" x14ac:dyDescent="0.25">
      <c r="A2131" s="9" t="s">
        <v>1117</v>
      </c>
      <c r="B2131" s="9" t="s">
        <v>291</v>
      </c>
      <c r="C2131" s="4">
        <v>201003729</v>
      </c>
      <c r="D2131" s="4" t="s">
        <v>1348</v>
      </c>
      <c r="E2131" s="4" t="str">
        <f>"073542010"</f>
        <v>073542010</v>
      </c>
      <c r="F2131" s="10">
        <v>40324</v>
      </c>
      <c r="G2131" s="11">
        <v>250</v>
      </c>
      <c r="H2131" s="11">
        <v>0</v>
      </c>
      <c r="I2131" s="4"/>
      <c r="J2131" s="4"/>
      <c r="K2131" s="11">
        <v>0</v>
      </c>
      <c r="L2131" s="4"/>
      <c r="M2131" s="4"/>
      <c r="N2131" s="11">
        <v>250</v>
      </c>
      <c r="O2131" s="4" t="s">
        <v>56</v>
      </c>
      <c r="P2131" s="4" t="s">
        <v>57</v>
      </c>
      <c r="Q2131" s="11">
        <v>0</v>
      </c>
      <c r="R2131" s="4"/>
      <c r="S2131" s="12"/>
    </row>
    <row r="2132" spans="1:19" x14ac:dyDescent="0.25">
      <c r="A2132" s="9" t="s">
        <v>1117</v>
      </c>
      <c r="B2132" s="9" t="s">
        <v>291</v>
      </c>
      <c r="C2132" s="4">
        <v>201003740</v>
      </c>
      <c r="D2132" s="4" t="s">
        <v>1548</v>
      </c>
      <c r="E2132" s="4" t="str">
        <f>"091732010"</f>
        <v>091732010</v>
      </c>
      <c r="F2132" s="10">
        <v>40368</v>
      </c>
      <c r="G2132" s="11">
        <v>366.62</v>
      </c>
      <c r="H2132" s="11">
        <v>0</v>
      </c>
      <c r="I2132" s="4"/>
      <c r="J2132" s="4"/>
      <c r="K2132" s="11">
        <v>0</v>
      </c>
      <c r="L2132" s="4"/>
      <c r="M2132" s="4"/>
      <c r="N2132" s="11">
        <v>366.62</v>
      </c>
      <c r="O2132" s="4" t="s">
        <v>56</v>
      </c>
      <c r="P2132" s="4" t="s">
        <v>57</v>
      </c>
      <c r="Q2132" s="11">
        <v>0</v>
      </c>
      <c r="R2132" s="4"/>
      <c r="S2132" s="12"/>
    </row>
    <row r="2133" spans="1:19" x14ac:dyDescent="0.25">
      <c r="A2133" s="9" t="s">
        <v>1117</v>
      </c>
      <c r="B2133" s="9" t="s">
        <v>291</v>
      </c>
      <c r="C2133" s="4">
        <v>201003749</v>
      </c>
      <c r="D2133" s="4" t="s">
        <v>1163</v>
      </c>
      <c r="E2133" s="4" t="str">
        <f>"074342010"</f>
        <v>074342010</v>
      </c>
      <c r="F2133" s="10">
        <v>40331</v>
      </c>
      <c r="G2133" s="11">
        <v>350</v>
      </c>
      <c r="H2133" s="11">
        <v>0</v>
      </c>
      <c r="I2133" s="4"/>
      <c r="J2133" s="4"/>
      <c r="K2133" s="11">
        <v>0</v>
      </c>
      <c r="L2133" s="4"/>
      <c r="M2133" s="4"/>
      <c r="N2133" s="11">
        <v>350</v>
      </c>
      <c r="O2133" s="4" t="s">
        <v>56</v>
      </c>
      <c r="P2133" s="4" t="s">
        <v>57</v>
      </c>
      <c r="Q2133" s="11">
        <v>0</v>
      </c>
      <c r="R2133" s="4"/>
      <c r="S2133" s="12"/>
    </row>
    <row r="2134" spans="1:19" x14ac:dyDescent="0.25">
      <c r="A2134" s="9" t="s">
        <v>1117</v>
      </c>
      <c r="B2134" s="9" t="s">
        <v>291</v>
      </c>
      <c r="C2134" s="4">
        <v>201003752</v>
      </c>
      <c r="D2134" s="4" t="s">
        <v>1321</v>
      </c>
      <c r="E2134" s="4" t="str">
        <f>"097142010"</f>
        <v>097142010</v>
      </c>
      <c r="F2134" s="10">
        <v>40394</v>
      </c>
      <c r="G2134" s="11">
        <v>350</v>
      </c>
      <c r="H2134" s="11">
        <v>0</v>
      </c>
      <c r="I2134" s="4"/>
      <c r="J2134" s="4"/>
      <c r="K2134" s="11">
        <v>0</v>
      </c>
      <c r="L2134" s="4"/>
      <c r="M2134" s="4"/>
      <c r="N2134" s="11">
        <v>350</v>
      </c>
      <c r="O2134" s="4" t="s">
        <v>56</v>
      </c>
      <c r="P2134" s="4" t="s">
        <v>57</v>
      </c>
      <c r="Q2134" s="11">
        <v>0</v>
      </c>
      <c r="R2134" s="4"/>
      <c r="S2134" s="12"/>
    </row>
    <row r="2135" spans="1:19" x14ac:dyDescent="0.25">
      <c r="A2135" s="9" t="s">
        <v>1117</v>
      </c>
      <c r="B2135" s="9" t="s">
        <v>291</v>
      </c>
      <c r="C2135" s="4">
        <v>201003761</v>
      </c>
      <c r="D2135" s="4" t="s">
        <v>1163</v>
      </c>
      <c r="E2135" s="4" t="str">
        <f>"074362010"</f>
        <v>074362010</v>
      </c>
      <c r="F2135" s="10">
        <v>40331</v>
      </c>
      <c r="G2135" s="11">
        <v>350</v>
      </c>
      <c r="H2135" s="11">
        <v>0</v>
      </c>
      <c r="I2135" s="4"/>
      <c r="J2135" s="4"/>
      <c r="K2135" s="11">
        <v>0</v>
      </c>
      <c r="L2135" s="4"/>
      <c r="M2135" s="4"/>
      <c r="N2135" s="11">
        <v>350</v>
      </c>
      <c r="O2135" s="4" t="s">
        <v>56</v>
      </c>
      <c r="P2135" s="4" t="s">
        <v>57</v>
      </c>
      <c r="Q2135" s="11">
        <v>0</v>
      </c>
      <c r="R2135" s="4"/>
      <c r="S2135" s="12"/>
    </row>
    <row r="2136" spans="1:19" x14ac:dyDescent="0.25">
      <c r="A2136" s="9" t="s">
        <v>1117</v>
      </c>
      <c r="B2136" s="9" t="s">
        <v>291</v>
      </c>
      <c r="C2136" s="4">
        <v>201003765</v>
      </c>
      <c r="D2136" s="4" t="s">
        <v>1164</v>
      </c>
      <c r="E2136" s="4" t="str">
        <f>"074402010"</f>
        <v>074402010</v>
      </c>
      <c r="F2136" s="10">
        <v>40331</v>
      </c>
      <c r="G2136" s="11">
        <v>350</v>
      </c>
      <c r="H2136" s="11">
        <v>0</v>
      </c>
      <c r="I2136" s="4"/>
      <c r="J2136" s="4"/>
      <c r="K2136" s="11">
        <v>0</v>
      </c>
      <c r="L2136" s="4"/>
      <c r="M2136" s="4"/>
      <c r="N2136" s="11">
        <v>350</v>
      </c>
      <c r="O2136" s="4" t="s">
        <v>56</v>
      </c>
      <c r="P2136" s="4" t="s">
        <v>57</v>
      </c>
      <c r="Q2136" s="11">
        <v>0</v>
      </c>
      <c r="R2136" s="4"/>
      <c r="S2136" s="12"/>
    </row>
    <row r="2137" spans="1:19" x14ac:dyDescent="0.25">
      <c r="A2137" s="9" t="s">
        <v>1117</v>
      </c>
      <c r="B2137" s="9" t="s">
        <v>291</v>
      </c>
      <c r="C2137" s="4">
        <v>201003769</v>
      </c>
      <c r="D2137" s="4" t="s">
        <v>1163</v>
      </c>
      <c r="E2137" s="4" t="str">
        <f>"074422010"</f>
        <v>074422010</v>
      </c>
      <c r="F2137" s="10">
        <v>40331</v>
      </c>
      <c r="G2137" s="11">
        <v>350</v>
      </c>
      <c r="H2137" s="11">
        <v>0</v>
      </c>
      <c r="I2137" s="4"/>
      <c r="J2137" s="4"/>
      <c r="K2137" s="11">
        <v>0</v>
      </c>
      <c r="L2137" s="4"/>
      <c r="M2137" s="4"/>
      <c r="N2137" s="11">
        <v>350</v>
      </c>
      <c r="O2137" s="4" t="s">
        <v>56</v>
      </c>
      <c r="P2137" s="4" t="s">
        <v>57</v>
      </c>
      <c r="Q2137" s="11">
        <v>0</v>
      </c>
      <c r="R2137" s="4"/>
      <c r="S2137" s="12"/>
    </row>
    <row r="2138" spans="1:19" x14ac:dyDescent="0.25">
      <c r="A2138" s="9" t="s">
        <v>1117</v>
      </c>
      <c r="B2138" s="9" t="s">
        <v>291</v>
      </c>
      <c r="C2138" s="4">
        <v>201003774</v>
      </c>
      <c r="D2138" s="4" t="s">
        <v>1177</v>
      </c>
      <c r="E2138" s="4" t="str">
        <f>"074962010"</f>
        <v>074962010</v>
      </c>
      <c r="F2138" s="10">
        <v>40331</v>
      </c>
      <c r="G2138" s="11">
        <v>358.6</v>
      </c>
      <c r="H2138" s="11">
        <v>0</v>
      </c>
      <c r="I2138" s="4"/>
      <c r="J2138" s="4"/>
      <c r="K2138" s="11">
        <v>0</v>
      </c>
      <c r="L2138" s="4"/>
      <c r="M2138" s="4"/>
      <c r="N2138" s="11">
        <v>358.6</v>
      </c>
      <c r="O2138" s="4" t="s">
        <v>56</v>
      </c>
      <c r="P2138" s="4" t="s">
        <v>57</v>
      </c>
      <c r="Q2138" s="11">
        <v>0</v>
      </c>
      <c r="R2138" s="4"/>
      <c r="S2138" s="12"/>
    </row>
    <row r="2139" spans="1:19" x14ac:dyDescent="0.25">
      <c r="A2139" s="9" t="s">
        <v>1117</v>
      </c>
      <c r="B2139" s="9" t="s">
        <v>291</v>
      </c>
      <c r="C2139" s="4">
        <v>201003778</v>
      </c>
      <c r="D2139" s="4" t="s">
        <v>1549</v>
      </c>
      <c r="E2139" s="4" t="str">
        <f>"075122010"</f>
        <v>075122010</v>
      </c>
      <c r="F2139" s="10">
        <v>40331</v>
      </c>
      <c r="G2139" s="11">
        <v>350</v>
      </c>
      <c r="H2139" s="11">
        <v>0</v>
      </c>
      <c r="I2139" s="4"/>
      <c r="J2139" s="4"/>
      <c r="K2139" s="11">
        <v>0</v>
      </c>
      <c r="L2139" s="4"/>
      <c r="M2139" s="4"/>
      <c r="N2139" s="11">
        <v>350</v>
      </c>
      <c r="O2139" s="4" t="s">
        <v>56</v>
      </c>
      <c r="P2139" s="4" t="s">
        <v>57</v>
      </c>
      <c r="Q2139" s="11">
        <v>0</v>
      </c>
      <c r="R2139" s="4"/>
      <c r="S2139" s="12"/>
    </row>
    <row r="2140" spans="1:19" x14ac:dyDescent="0.25">
      <c r="A2140" s="9" t="s">
        <v>1117</v>
      </c>
      <c r="B2140" s="9" t="s">
        <v>291</v>
      </c>
      <c r="C2140" s="4">
        <v>201003780</v>
      </c>
      <c r="D2140" s="4" t="s">
        <v>1527</v>
      </c>
      <c r="E2140" s="4" t="str">
        <f>"075242010"</f>
        <v>075242010</v>
      </c>
      <c r="F2140" s="10">
        <v>40332</v>
      </c>
      <c r="G2140" s="11">
        <v>353</v>
      </c>
      <c r="H2140" s="11">
        <v>0</v>
      </c>
      <c r="I2140" s="4"/>
      <c r="J2140" s="4"/>
      <c r="K2140" s="11">
        <v>0</v>
      </c>
      <c r="L2140" s="4"/>
      <c r="M2140" s="4"/>
      <c r="N2140" s="11">
        <v>353</v>
      </c>
      <c r="O2140" s="4" t="s">
        <v>56</v>
      </c>
      <c r="P2140" s="4" t="s">
        <v>57</v>
      </c>
      <c r="Q2140" s="11">
        <v>0</v>
      </c>
      <c r="R2140" s="4"/>
      <c r="S2140" s="12"/>
    </row>
    <row r="2141" spans="1:19" x14ac:dyDescent="0.25">
      <c r="A2141" s="9" t="s">
        <v>1117</v>
      </c>
      <c r="B2141" s="9" t="s">
        <v>291</v>
      </c>
      <c r="C2141" s="4">
        <v>201003781</v>
      </c>
      <c r="D2141" s="4" t="s">
        <v>1177</v>
      </c>
      <c r="E2141" s="4" t="str">
        <f>"075002010"</f>
        <v>075002010</v>
      </c>
      <c r="F2141" s="10">
        <v>40331</v>
      </c>
      <c r="G2141" s="11">
        <v>9.6</v>
      </c>
      <c r="H2141" s="11">
        <v>0</v>
      </c>
      <c r="I2141" s="4"/>
      <c r="J2141" s="4"/>
      <c r="K2141" s="11">
        <v>0</v>
      </c>
      <c r="L2141" s="4"/>
      <c r="M2141" s="4"/>
      <c r="N2141" s="11">
        <v>9.6</v>
      </c>
      <c r="O2141" s="4" t="s">
        <v>56</v>
      </c>
      <c r="P2141" s="4" t="s">
        <v>57</v>
      </c>
      <c r="Q2141" s="11">
        <v>0</v>
      </c>
      <c r="R2141" s="4"/>
      <c r="S2141" s="12"/>
    </row>
    <row r="2142" spans="1:19" x14ac:dyDescent="0.25">
      <c r="A2142" s="9" t="s">
        <v>1117</v>
      </c>
      <c r="B2142" s="9" t="s">
        <v>291</v>
      </c>
      <c r="C2142" s="4">
        <v>201003782</v>
      </c>
      <c r="D2142" s="4" t="s">
        <v>1181</v>
      </c>
      <c r="E2142" s="4" t="str">
        <f>"075142010"</f>
        <v>075142010</v>
      </c>
      <c r="F2142" s="10">
        <v>40331</v>
      </c>
      <c r="G2142" s="11">
        <v>25.25</v>
      </c>
      <c r="H2142" s="11">
        <v>0</v>
      </c>
      <c r="I2142" s="4"/>
      <c r="J2142" s="4"/>
      <c r="K2142" s="11">
        <v>0</v>
      </c>
      <c r="L2142" s="4"/>
      <c r="M2142" s="4"/>
      <c r="N2142" s="11">
        <v>25.25</v>
      </c>
      <c r="O2142" s="4" t="s">
        <v>56</v>
      </c>
      <c r="P2142" s="4" t="s">
        <v>57</v>
      </c>
      <c r="Q2142" s="11">
        <v>0</v>
      </c>
      <c r="R2142" s="4"/>
      <c r="S2142" s="12"/>
    </row>
    <row r="2143" spans="1:19" x14ac:dyDescent="0.25">
      <c r="A2143" s="9" t="s">
        <v>1117</v>
      </c>
      <c r="B2143" s="9" t="s">
        <v>291</v>
      </c>
      <c r="C2143" s="4">
        <v>201003783</v>
      </c>
      <c r="D2143" s="4" t="s">
        <v>1250</v>
      </c>
      <c r="E2143" s="4" t="str">
        <f>"075482010"</f>
        <v>075482010</v>
      </c>
      <c r="F2143" s="10">
        <v>40332</v>
      </c>
      <c r="G2143" s="11">
        <v>350</v>
      </c>
      <c r="H2143" s="11">
        <v>0</v>
      </c>
      <c r="I2143" s="4"/>
      <c r="J2143" s="4"/>
      <c r="K2143" s="11">
        <v>0</v>
      </c>
      <c r="L2143" s="4"/>
      <c r="M2143" s="4"/>
      <c r="N2143" s="11">
        <v>350</v>
      </c>
      <c r="O2143" s="4" t="s">
        <v>56</v>
      </c>
      <c r="P2143" s="4" t="s">
        <v>57</v>
      </c>
      <c r="Q2143" s="11">
        <v>0</v>
      </c>
      <c r="R2143" s="4"/>
      <c r="S2143" s="12"/>
    </row>
    <row r="2144" spans="1:19" x14ac:dyDescent="0.25">
      <c r="A2144" s="9" t="s">
        <v>1117</v>
      </c>
      <c r="B2144" s="9" t="s">
        <v>291</v>
      </c>
      <c r="C2144" s="4">
        <v>201003785</v>
      </c>
      <c r="D2144" s="4" t="s">
        <v>1488</v>
      </c>
      <c r="E2144" s="4" t="str">
        <f>"075182010"</f>
        <v>075182010</v>
      </c>
      <c r="F2144" s="10">
        <v>40332</v>
      </c>
      <c r="G2144" s="11">
        <v>92.4</v>
      </c>
      <c r="H2144" s="11">
        <v>0</v>
      </c>
      <c r="I2144" s="4"/>
      <c r="J2144" s="4"/>
      <c r="K2144" s="11">
        <v>0</v>
      </c>
      <c r="L2144" s="4"/>
      <c r="M2144" s="4"/>
      <c r="N2144" s="11">
        <v>92.4</v>
      </c>
      <c r="O2144" s="4" t="s">
        <v>56</v>
      </c>
      <c r="P2144" s="4" t="s">
        <v>57</v>
      </c>
      <c r="Q2144" s="11">
        <v>0</v>
      </c>
      <c r="R2144" s="4"/>
      <c r="S2144" s="12"/>
    </row>
    <row r="2145" spans="1:19" x14ac:dyDescent="0.25">
      <c r="A2145" s="9" t="s">
        <v>1117</v>
      </c>
      <c r="B2145" s="9" t="s">
        <v>291</v>
      </c>
      <c r="C2145" s="4">
        <v>201003786</v>
      </c>
      <c r="D2145" s="4" t="s">
        <v>1488</v>
      </c>
      <c r="E2145" s="4" t="str">
        <f>"075222010"</f>
        <v>075222010</v>
      </c>
      <c r="F2145" s="10">
        <v>40332</v>
      </c>
      <c r="G2145" s="11">
        <v>107.45</v>
      </c>
      <c r="H2145" s="11">
        <v>0</v>
      </c>
      <c r="I2145" s="4"/>
      <c r="J2145" s="4"/>
      <c r="K2145" s="11">
        <v>0</v>
      </c>
      <c r="L2145" s="4"/>
      <c r="M2145" s="4"/>
      <c r="N2145" s="11">
        <v>107.45</v>
      </c>
      <c r="O2145" s="4" t="s">
        <v>56</v>
      </c>
      <c r="P2145" s="4" t="s">
        <v>57</v>
      </c>
      <c r="Q2145" s="11">
        <v>0</v>
      </c>
      <c r="R2145" s="4"/>
      <c r="S2145" s="12"/>
    </row>
    <row r="2146" spans="1:19" x14ac:dyDescent="0.25">
      <c r="A2146" s="9" t="s">
        <v>1117</v>
      </c>
      <c r="B2146" s="9" t="s">
        <v>291</v>
      </c>
      <c r="C2146" s="4">
        <v>201003787</v>
      </c>
      <c r="D2146" s="4"/>
      <c r="E2146" s="4" t="str">
        <f>"075462010"</f>
        <v>075462010</v>
      </c>
      <c r="F2146" s="10">
        <v>40332</v>
      </c>
      <c r="G2146" s="11">
        <v>350</v>
      </c>
      <c r="H2146" s="11">
        <v>0</v>
      </c>
      <c r="I2146" s="4"/>
      <c r="J2146" s="4"/>
      <c r="K2146" s="11">
        <v>0</v>
      </c>
      <c r="L2146" s="4"/>
      <c r="M2146" s="4"/>
      <c r="N2146" s="11">
        <v>350</v>
      </c>
      <c r="O2146" s="4" t="s">
        <v>56</v>
      </c>
      <c r="P2146" s="4" t="s">
        <v>57</v>
      </c>
      <c r="Q2146" s="11">
        <v>0</v>
      </c>
      <c r="R2146" s="4"/>
      <c r="S2146" s="12"/>
    </row>
    <row r="2147" spans="1:19" x14ac:dyDescent="0.25">
      <c r="A2147" s="9" t="s">
        <v>1117</v>
      </c>
      <c r="B2147" s="9" t="s">
        <v>291</v>
      </c>
      <c r="C2147" s="4">
        <v>201003788</v>
      </c>
      <c r="D2147" s="4" t="s">
        <v>1183</v>
      </c>
      <c r="E2147" s="4" t="str">
        <f>"075102010"</f>
        <v>075102010</v>
      </c>
      <c r="F2147" s="10">
        <v>40331</v>
      </c>
      <c r="G2147" s="11">
        <v>352.8</v>
      </c>
      <c r="H2147" s="11">
        <v>0</v>
      </c>
      <c r="I2147" s="4"/>
      <c r="J2147" s="4"/>
      <c r="K2147" s="11">
        <v>0</v>
      </c>
      <c r="L2147" s="4"/>
      <c r="M2147" s="4"/>
      <c r="N2147" s="11">
        <v>352.8</v>
      </c>
      <c r="O2147" s="4" t="s">
        <v>56</v>
      </c>
      <c r="P2147" s="4" t="s">
        <v>57</v>
      </c>
      <c r="Q2147" s="11">
        <v>0</v>
      </c>
      <c r="R2147" s="4"/>
      <c r="S2147" s="12"/>
    </row>
    <row r="2148" spans="1:19" x14ac:dyDescent="0.25">
      <c r="A2148" s="9" t="s">
        <v>1117</v>
      </c>
      <c r="B2148" s="9" t="s">
        <v>291</v>
      </c>
      <c r="C2148" s="4">
        <v>201003789</v>
      </c>
      <c r="D2148" s="4" t="s">
        <v>1307</v>
      </c>
      <c r="E2148" s="4" t="str">
        <f>"075582010"</f>
        <v>075582010</v>
      </c>
      <c r="F2148" s="10">
        <v>40332</v>
      </c>
      <c r="G2148" s="11">
        <v>372.84</v>
      </c>
      <c r="H2148" s="11">
        <v>0</v>
      </c>
      <c r="I2148" s="4"/>
      <c r="J2148" s="4"/>
      <c r="K2148" s="11">
        <v>0</v>
      </c>
      <c r="L2148" s="4"/>
      <c r="M2148" s="4"/>
      <c r="N2148" s="11">
        <v>372.84</v>
      </c>
      <c r="O2148" s="4" t="s">
        <v>56</v>
      </c>
      <c r="P2148" s="4" t="s">
        <v>57</v>
      </c>
      <c r="Q2148" s="11">
        <v>0</v>
      </c>
      <c r="R2148" s="4"/>
      <c r="S2148" s="12"/>
    </row>
    <row r="2149" spans="1:19" x14ac:dyDescent="0.25">
      <c r="A2149" s="9" t="s">
        <v>1117</v>
      </c>
      <c r="B2149" s="9" t="s">
        <v>291</v>
      </c>
      <c r="C2149" s="4">
        <v>201003790</v>
      </c>
      <c r="D2149" s="4" t="s">
        <v>1504</v>
      </c>
      <c r="E2149" s="4" t="str">
        <f>"074822010"</f>
        <v>074822010</v>
      </c>
      <c r="F2149" s="10">
        <v>40331</v>
      </c>
      <c r="G2149" s="11">
        <v>11.4</v>
      </c>
      <c r="H2149" s="11">
        <v>0</v>
      </c>
      <c r="I2149" s="4"/>
      <c r="J2149" s="4"/>
      <c r="K2149" s="11">
        <v>0</v>
      </c>
      <c r="L2149" s="4"/>
      <c r="M2149" s="4"/>
      <c r="N2149" s="11">
        <v>11.4</v>
      </c>
      <c r="O2149" s="4" t="s">
        <v>56</v>
      </c>
      <c r="P2149" s="4" t="s">
        <v>57</v>
      </c>
      <c r="Q2149" s="11">
        <v>0</v>
      </c>
      <c r="R2149" s="4"/>
      <c r="S2149" s="12"/>
    </row>
    <row r="2150" spans="1:19" x14ac:dyDescent="0.25">
      <c r="A2150" s="9" t="s">
        <v>1117</v>
      </c>
      <c r="B2150" s="9" t="s">
        <v>291</v>
      </c>
      <c r="C2150" s="4">
        <v>201003791</v>
      </c>
      <c r="D2150" s="4" t="s">
        <v>1504</v>
      </c>
      <c r="E2150" s="4" t="str">
        <f>"075042010"</f>
        <v>075042010</v>
      </c>
      <c r="F2150" s="10">
        <v>40331</v>
      </c>
      <c r="G2150" s="11">
        <v>22.2</v>
      </c>
      <c r="H2150" s="11">
        <v>0</v>
      </c>
      <c r="I2150" s="4"/>
      <c r="J2150" s="4"/>
      <c r="K2150" s="11">
        <v>0</v>
      </c>
      <c r="L2150" s="4"/>
      <c r="M2150" s="4"/>
      <c r="N2150" s="11">
        <v>22.2</v>
      </c>
      <c r="O2150" s="4" t="s">
        <v>56</v>
      </c>
      <c r="P2150" s="4" t="s">
        <v>57</v>
      </c>
      <c r="Q2150" s="11">
        <v>0</v>
      </c>
      <c r="R2150" s="4"/>
      <c r="S2150" s="12"/>
    </row>
    <row r="2151" spans="1:19" x14ac:dyDescent="0.25">
      <c r="A2151" s="9" t="s">
        <v>1117</v>
      </c>
      <c r="B2151" s="9" t="s">
        <v>291</v>
      </c>
      <c r="C2151" s="4">
        <v>201003793</v>
      </c>
      <c r="D2151" s="4" t="s">
        <v>1550</v>
      </c>
      <c r="E2151" s="4" t="str">
        <f>"075202010"</f>
        <v>075202010</v>
      </c>
      <c r="F2151" s="10">
        <v>40332</v>
      </c>
      <c r="G2151" s="11">
        <v>350</v>
      </c>
      <c r="H2151" s="11">
        <v>0</v>
      </c>
      <c r="I2151" s="4"/>
      <c r="J2151" s="4"/>
      <c r="K2151" s="11">
        <v>0</v>
      </c>
      <c r="L2151" s="4"/>
      <c r="M2151" s="4"/>
      <c r="N2151" s="11">
        <v>350</v>
      </c>
      <c r="O2151" s="4" t="s">
        <v>56</v>
      </c>
      <c r="P2151" s="4" t="s">
        <v>57</v>
      </c>
      <c r="Q2151" s="11">
        <v>0</v>
      </c>
      <c r="R2151" s="4"/>
      <c r="S2151" s="12"/>
    </row>
    <row r="2152" spans="1:19" x14ac:dyDescent="0.25">
      <c r="A2152" s="9" t="s">
        <v>1117</v>
      </c>
      <c r="B2152" s="9" t="s">
        <v>291</v>
      </c>
      <c r="C2152" s="4">
        <v>201003795</v>
      </c>
      <c r="D2152" s="4" t="s">
        <v>1181</v>
      </c>
      <c r="E2152" s="4" t="str">
        <f>"074702010"</f>
        <v>074702010</v>
      </c>
      <c r="F2152" s="10">
        <v>40332</v>
      </c>
      <c r="G2152" s="11">
        <v>14.5</v>
      </c>
      <c r="H2152" s="11">
        <v>14.5</v>
      </c>
      <c r="I2152" s="4" t="s">
        <v>56</v>
      </c>
      <c r="J2152" s="4" t="s">
        <v>57</v>
      </c>
      <c r="K2152" s="11">
        <v>0</v>
      </c>
      <c r="L2152" s="4"/>
      <c r="M2152" s="4"/>
      <c r="N2152" s="11">
        <v>0</v>
      </c>
      <c r="O2152" s="4"/>
      <c r="P2152" s="4"/>
      <c r="Q2152" s="11">
        <v>0</v>
      </c>
      <c r="R2152" s="4"/>
      <c r="S2152" s="12"/>
    </row>
    <row r="2153" spans="1:19" x14ac:dyDescent="0.25">
      <c r="A2153" s="9" t="s">
        <v>1117</v>
      </c>
      <c r="B2153" s="9" t="s">
        <v>291</v>
      </c>
      <c r="C2153" s="4">
        <v>201003798</v>
      </c>
      <c r="D2153" s="4" t="s">
        <v>1182</v>
      </c>
      <c r="E2153" s="4" t="str">
        <f>"074762010"</f>
        <v>074762010</v>
      </c>
      <c r="F2153" s="10">
        <v>40332</v>
      </c>
      <c r="G2153" s="11">
        <v>350</v>
      </c>
      <c r="H2153" s="11">
        <v>0</v>
      </c>
      <c r="I2153" s="4"/>
      <c r="J2153" s="4"/>
      <c r="K2153" s="11">
        <v>0</v>
      </c>
      <c r="L2153" s="4"/>
      <c r="M2153" s="4"/>
      <c r="N2153" s="11">
        <v>350</v>
      </c>
      <c r="O2153" s="4" t="s">
        <v>56</v>
      </c>
      <c r="P2153" s="4" t="s">
        <v>57</v>
      </c>
      <c r="Q2153" s="11">
        <v>0</v>
      </c>
      <c r="R2153" s="4"/>
      <c r="S2153" s="12"/>
    </row>
    <row r="2154" spans="1:19" x14ac:dyDescent="0.25">
      <c r="A2154" s="9" t="s">
        <v>1117</v>
      </c>
      <c r="B2154" s="9" t="s">
        <v>291</v>
      </c>
      <c r="C2154" s="4">
        <v>201003805</v>
      </c>
      <c r="D2154" s="4" t="s">
        <v>1181</v>
      </c>
      <c r="E2154" s="4" t="str">
        <f>"075162010"</f>
        <v>075162010</v>
      </c>
      <c r="F2154" s="10">
        <v>40332</v>
      </c>
      <c r="G2154" s="11">
        <v>398</v>
      </c>
      <c r="H2154" s="11">
        <v>0</v>
      </c>
      <c r="I2154" s="4"/>
      <c r="J2154" s="4"/>
      <c r="K2154" s="11">
        <v>0</v>
      </c>
      <c r="L2154" s="4"/>
      <c r="M2154" s="4"/>
      <c r="N2154" s="11">
        <v>398</v>
      </c>
      <c r="O2154" s="4" t="s">
        <v>56</v>
      </c>
      <c r="P2154" s="4" t="s">
        <v>57</v>
      </c>
      <c r="Q2154" s="11">
        <v>0</v>
      </c>
      <c r="R2154" s="4"/>
      <c r="S2154" s="12"/>
    </row>
    <row r="2155" spans="1:19" x14ac:dyDescent="0.25">
      <c r="A2155" s="9" t="s">
        <v>1117</v>
      </c>
      <c r="B2155" s="9" t="s">
        <v>291</v>
      </c>
      <c r="C2155" s="4">
        <v>201003807</v>
      </c>
      <c r="D2155" s="4" t="s">
        <v>1504</v>
      </c>
      <c r="E2155" s="4" t="str">
        <f>"075062010"</f>
        <v>075062010</v>
      </c>
      <c r="F2155" s="10">
        <v>40331</v>
      </c>
      <c r="G2155" s="11">
        <v>12.15</v>
      </c>
      <c r="H2155" s="11">
        <v>0</v>
      </c>
      <c r="I2155" s="4"/>
      <c r="J2155" s="4"/>
      <c r="K2155" s="11">
        <v>0</v>
      </c>
      <c r="L2155" s="4"/>
      <c r="M2155" s="4"/>
      <c r="N2155" s="11">
        <v>12.15</v>
      </c>
      <c r="O2155" s="4" t="s">
        <v>56</v>
      </c>
      <c r="P2155" s="4" t="s">
        <v>57</v>
      </c>
      <c r="Q2155" s="11">
        <v>0</v>
      </c>
      <c r="R2155" s="4"/>
      <c r="S2155" s="12"/>
    </row>
    <row r="2156" spans="1:19" x14ac:dyDescent="0.25">
      <c r="A2156" s="9" t="s">
        <v>1117</v>
      </c>
      <c r="B2156" s="9" t="s">
        <v>291</v>
      </c>
      <c r="C2156" s="4">
        <v>201003812</v>
      </c>
      <c r="D2156" s="4" t="s">
        <v>1373</v>
      </c>
      <c r="E2156" s="4" t="str">
        <f>"077202010"</f>
        <v>077202010</v>
      </c>
      <c r="F2156" s="10">
        <v>40338</v>
      </c>
      <c r="G2156" s="11">
        <v>350</v>
      </c>
      <c r="H2156" s="11">
        <v>0</v>
      </c>
      <c r="I2156" s="4"/>
      <c r="J2156" s="4"/>
      <c r="K2156" s="11">
        <v>0</v>
      </c>
      <c r="L2156" s="4"/>
      <c r="M2156" s="4"/>
      <c r="N2156" s="11">
        <v>350</v>
      </c>
      <c r="O2156" s="4" t="s">
        <v>56</v>
      </c>
      <c r="P2156" s="4" t="s">
        <v>57</v>
      </c>
      <c r="Q2156" s="11">
        <v>0</v>
      </c>
      <c r="R2156" s="4"/>
      <c r="S2156" s="12"/>
    </row>
    <row r="2157" spans="1:19" x14ac:dyDescent="0.25">
      <c r="A2157" s="9" t="s">
        <v>1117</v>
      </c>
      <c r="B2157" s="9" t="s">
        <v>291</v>
      </c>
      <c r="C2157" s="4">
        <v>201003813</v>
      </c>
      <c r="D2157" s="4" t="s">
        <v>1373</v>
      </c>
      <c r="E2157" s="4" t="str">
        <f>"077292010"</f>
        <v>077292010</v>
      </c>
      <c r="F2157" s="10">
        <v>40338</v>
      </c>
      <c r="G2157" s="11">
        <v>350</v>
      </c>
      <c r="H2157" s="11">
        <v>0</v>
      </c>
      <c r="I2157" s="4"/>
      <c r="J2157" s="4"/>
      <c r="K2157" s="11">
        <v>0</v>
      </c>
      <c r="L2157" s="4"/>
      <c r="M2157" s="4"/>
      <c r="N2157" s="11">
        <v>350</v>
      </c>
      <c r="O2157" s="4" t="s">
        <v>56</v>
      </c>
      <c r="P2157" s="4" t="s">
        <v>57</v>
      </c>
      <c r="Q2157" s="11">
        <v>0</v>
      </c>
      <c r="R2157" s="4"/>
      <c r="S2157" s="12"/>
    </row>
    <row r="2158" spans="1:19" x14ac:dyDescent="0.25">
      <c r="A2158" s="9" t="s">
        <v>1117</v>
      </c>
      <c r="B2158" s="9" t="s">
        <v>291</v>
      </c>
      <c r="C2158" s="4">
        <v>201003815</v>
      </c>
      <c r="D2158" s="4" t="s">
        <v>1317</v>
      </c>
      <c r="E2158" s="4" t="str">
        <f>"077082010"</f>
        <v>077082010</v>
      </c>
      <c r="F2158" s="10">
        <v>40337</v>
      </c>
      <c r="G2158" s="11">
        <v>16.100000000000001</v>
      </c>
      <c r="H2158" s="11">
        <v>0</v>
      </c>
      <c r="I2158" s="4"/>
      <c r="J2158" s="4"/>
      <c r="K2158" s="11">
        <v>0</v>
      </c>
      <c r="L2158" s="4"/>
      <c r="M2158" s="4"/>
      <c r="N2158" s="11">
        <v>16.100000000000001</v>
      </c>
      <c r="O2158" s="4" t="s">
        <v>56</v>
      </c>
      <c r="P2158" s="4" t="s">
        <v>57</v>
      </c>
      <c r="Q2158" s="11">
        <v>0</v>
      </c>
      <c r="R2158" s="4"/>
      <c r="S2158" s="12"/>
    </row>
    <row r="2159" spans="1:19" x14ac:dyDescent="0.25">
      <c r="A2159" s="9" t="s">
        <v>1117</v>
      </c>
      <c r="B2159" s="9" t="s">
        <v>291</v>
      </c>
      <c r="C2159" s="4">
        <v>201003816</v>
      </c>
      <c r="D2159" s="4" t="s">
        <v>1504</v>
      </c>
      <c r="E2159" s="4" t="str">
        <f>"074922010"</f>
        <v>074922010</v>
      </c>
      <c r="F2159" s="10">
        <v>40331</v>
      </c>
      <c r="G2159" s="11">
        <v>3</v>
      </c>
      <c r="H2159" s="11">
        <v>0</v>
      </c>
      <c r="I2159" s="4"/>
      <c r="J2159" s="4"/>
      <c r="K2159" s="11">
        <v>0</v>
      </c>
      <c r="L2159" s="4"/>
      <c r="M2159" s="4"/>
      <c r="N2159" s="11">
        <v>3</v>
      </c>
      <c r="O2159" s="4" t="s">
        <v>56</v>
      </c>
      <c r="P2159" s="4" t="s">
        <v>57</v>
      </c>
      <c r="Q2159" s="11">
        <v>0</v>
      </c>
      <c r="R2159" s="4"/>
      <c r="S2159" s="12"/>
    </row>
    <row r="2160" spans="1:19" x14ac:dyDescent="0.25">
      <c r="A2160" s="9" t="s">
        <v>1117</v>
      </c>
      <c r="B2160" s="9" t="s">
        <v>291</v>
      </c>
      <c r="C2160" s="4">
        <v>201003820</v>
      </c>
      <c r="D2160" s="4" t="s">
        <v>354</v>
      </c>
      <c r="E2160" s="4" t="str">
        <f>"074882010"</f>
        <v>074882010</v>
      </c>
      <c r="F2160" s="10">
        <v>40331</v>
      </c>
      <c r="G2160" s="11">
        <v>353</v>
      </c>
      <c r="H2160" s="11">
        <v>0</v>
      </c>
      <c r="I2160" s="4"/>
      <c r="J2160" s="4"/>
      <c r="K2160" s="11">
        <v>0</v>
      </c>
      <c r="L2160" s="4"/>
      <c r="M2160" s="4"/>
      <c r="N2160" s="11">
        <v>353</v>
      </c>
      <c r="O2160" s="4" t="s">
        <v>56</v>
      </c>
      <c r="P2160" s="4" t="s">
        <v>57</v>
      </c>
      <c r="Q2160" s="11">
        <v>0</v>
      </c>
      <c r="R2160" s="4"/>
      <c r="S2160" s="12"/>
    </row>
    <row r="2161" spans="1:19" x14ac:dyDescent="0.25">
      <c r="A2161" s="9" t="s">
        <v>1117</v>
      </c>
      <c r="B2161" s="9" t="s">
        <v>291</v>
      </c>
      <c r="C2161" s="4">
        <v>201003821</v>
      </c>
      <c r="D2161" s="4" t="s">
        <v>1286</v>
      </c>
      <c r="E2161" s="4" t="str">
        <f>"075702010"</f>
        <v>075702010</v>
      </c>
      <c r="F2161" s="10">
        <v>40331</v>
      </c>
      <c r="G2161" s="11">
        <v>350</v>
      </c>
      <c r="H2161" s="11">
        <v>0</v>
      </c>
      <c r="I2161" s="4"/>
      <c r="J2161" s="4"/>
      <c r="K2161" s="11">
        <v>0</v>
      </c>
      <c r="L2161" s="4"/>
      <c r="M2161" s="4"/>
      <c r="N2161" s="11">
        <v>350</v>
      </c>
      <c r="O2161" s="4" t="s">
        <v>56</v>
      </c>
      <c r="P2161" s="4" t="s">
        <v>57</v>
      </c>
      <c r="Q2161" s="11">
        <v>0</v>
      </c>
      <c r="R2161" s="4"/>
      <c r="S2161" s="12"/>
    </row>
    <row r="2162" spans="1:19" x14ac:dyDescent="0.25">
      <c r="A2162" s="9" t="s">
        <v>1117</v>
      </c>
      <c r="B2162" s="9" t="s">
        <v>291</v>
      </c>
      <c r="C2162" s="4">
        <v>201003834</v>
      </c>
      <c r="D2162" s="4" t="s">
        <v>1181</v>
      </c>
      <c r="E2162" s="4" t="str">
        <f>"076082010"</f>
        <v>076082010</v>
      </c>
      <c r="F2162" s="10">
        <v>40333</v>
      </c>
      <c r="G2162" s="11">
        <v>15.25</v>
      </c>
      <c r="H2162" s="11">
        <v>0</v>
      </c>
      <c r="I2162" s="4"/>
      <c r="J2162" s="4"/>
      <c r="K2162" s="11">
        <v>0</v>
      </c>
      <c r="L2162" s="4"/>
      <c r="M2162" s="4"/>
      <c r="N2162" s="11">
        <v>15.25</v>
      </c>
      <c r="O2162" s="4" t="s">
        <v>56</v>
      </c>
      <c r="P2162" s="4" t="s">
        <v>57</v>
      </c>
      <c r="Q2162" s="11">
        <v>0</v>
      </c>
      <c r="R2162" s="4"/>
      <c r="S2162" s="12"/>
    </row>
    <row r="2163" spans="1:19" x14ac:dyDescent="0.25">
      <c r="A2163" s="9" t="s">
        <v>1117</v>
      </c>
      <c r="B2163" s="9" t="s">
        <v>291</v>
      </c>
      <c r="C2163" s="4">
        <v>201003835</v>
      </c>
      <c r="D2163" s="4" t="s">
        <v>1551</v>
      </c>
      <c r="E2163" s="4" t="str">
        <f>"076612010"</f>
        <v>076612010</v>
      </c>
      <c r="F2163" s="10">
        <v>40336</v>
      </c>
      <c r="G2163" s="11">
        <v>513.1</v>
      </c>
      <c r="H2163" s="11">
        <v>513.1</v>
      </c>
      <c r="I2163" s="4" t="s">
        <v>56</v>
      </c>
      <c r="J2163" s="4" t="s">
        <v>57</v>
      </c>
      <c r="K2163" s="11">
        <v>0</v>
      </c>
      <c r="L2163" s="4"/>
      <c r="M2163" s="4"/>
      <c r="N2163" s="11">
        <v>0</v>
      </c>
      <c r="O2163" s="4"/>
      <c r="P2163" s="4"/>
      <c r="Q2163" s="11">
        <v>0</v>
      </c>
      <c r="R2163" s="4"/>
      <c r="S2163" s="12"/>
    </row>
    <row r="2164" spans="1:19" x14ac:dyDescent="0.25">
      <c r="A2164" s="9" t="s">
        <v>1117</v>
      </c>
      <c r="B2164" s="9" t="s">
        <v>291</v>
      </c>
      <c r="C2164" s="4">
        <v>201003842</v>
      </c>
      <c r="D2164" s="4" t="s">
        <v>1552</v>
      </c>
      <c r="E2164" s="4" t="str">
        <f>"077372010"</f>
        <v>077372010</v>
      </c>
      <c r="F2164" s="10">
        <v>40338</v>
      </c>
      <c r="G2164" s="11">
        <v>350</v>
      </c>
      <c r="H2164" s="11">
        <v>0</v>
      </c>
      <c r="I2164" s="4"/>
      <c r="J2164" s="4"/>
      <c r="K2164" s="11">
        <v>0</v>
      </c>
      <c r="L2164" s="4"/>
      <c r="M2164" s="4"/>
      <c r="N2164" s="11">
        <v>350</v>
      </c>
      <c r="O2164" s="4" t="s">
        <v>56</v>
      </c>
      <c r="P2164" s="4" t="s">
        <v>57</v>
      </c>
      <c r="Q2164" s="11">
        <v>0</v>
      </c>
      <c r="R2164" s="4"/>
      <c r="S2164" s="12"/>
    </row>
    <row r="2165" spans="1:19" x14ac:dyDescent="0.25">
      <c r="A2165" s="9" t="s">
        <v>1117</v>
      </c>
      <c r="B2165" s="9" t="s">
        <v>291</v>
      </c>
      <c r="C2165" s="4">
        <v>201003843</v>
      </c>
      <c r="D2165" s="4" t="s">
        <v>1165</v>
      </c>
      <c r="E2165" s="4" t="str">
        <f>"087962010"</f>
        <v>087962010</v>
      </c>
      <c r="F2165" s="10">
        <v>40360</v>
      </c>
      <c r="G2165" s="11">
        <v>350</v>
      </c>
      <c r="H2165" s="11">
        <v>0</v>
      </c>
      <c r="I2165" s="4"/>
      <c r="J2165" s="4"/>
      <c r="K2165" s="11">
        <v>0</v>
      </c>
      <c r="L2165" s="4"/>
      <c r="M2165" s="4"/>
      <c r="N2165" s="11">
        <v>350</v>
      </c>
      <c r="O2165" s="4" t="s">
        <v>56</v>
      </c>
      <c r="P2165" s="4" t="s">
        <v>57</v>
      </c>
      <c r="Q2165" s="11">
        <v>0</v>
      </c>
      <c r="R2165" s="4"/>
      <c r="S2165" s="12"/>
    </row>
    <row r="2166" spans="1:19" x14ac:dyDescent="0.25">
      <c r="A2166" s="9" t="s">
        <v>1117</v>
      </c>
      <c r="B2166" s="9" t="s">
        <v>291</v>
      </c>
      <c r="C2166" s="4">
        <v>201003846</v>
      </c>
      <c r="D2166" s="4" t="s">
        <v>1161</v>
      </c>
      <c r="E2166" s="4" t="str">
        <f>"076162010"</f>
        <v>076162010</v>
      </c>
      <c r="F2166" s="10">
        <v>40333</v>
      </c>
      <c r="G2166" s="11">
        <v>16.47</v>
      </c>
      <c r="H2166" s="11">
        <v>0</v>
      </c>
      <c r="I2166" s="4"/>
      <c r="J2166" s="4"/>
      <c r="K2166" s="11">
        <v>0</v>
      </c>
      <c r="L2166" s="4"/>
      <c r="M2166" s="4"/>
      <c r="N2166" s="11">
        <v>16.47</v>
      </c>
      <c r="O2166" s="4" t="s">
        <v>56</v>
      </c>
      <c r="P2166" s="4" t="s">
        <v>57</v>
      </c>
      <c r="Q2166" s="11">
        <v>0</v>
      </c>
      <c r="R2166" s="4"/>
      <c r="S2166" s="12"/>
    </row>
    <row r="2167" spans="1:19" x14ac:dyDescent="0.25">
      <c r="A2167" s="9" t="s">
        <v>1117</v>
      </c>
      <c r="B2167" s="9" t="s">
        <v>291</v>
      </c>
      <c r="C2167" s="4">
        <v>201003849</v>
      </c>
      <c r="D2167" s="4" t="s">
        <v>1553</v>
      </c>
      <c r="E2167" s="4" t="str">
        <f>"076512010"</f>
        <v>076512010</v>
      </c>
      <c r="F2167" s="10">
        <v>40336</v>
      </c>
      <c r="G2167" s="11">
        <v>350</v>
      </c>
      <c r="H2167" s="11">
        <v>0</v>
      </c>
      <c r="I2167" s="4"/>
      <c r="J2167" s="4"/>
      <c r="K2167" s="11">
        <v>0</v>
      </c>
      <c r="L2167" s="4"/>
      <c r="M2167" s="4"/>
      <c r="N2167" s="11">
        <v>350</v>
      </c>
      <c r="O2167" s="4" t="s">
        <v>56</v>
      </c>
      <c r="P2167" s="4" t="s">
        <v>57</v>
      </c>
      <c r="Q2167" s="11">
        <v>0</v>
      </c>
      <c r="R2167" s="4"/>
      <c r="S2167" s="12"/>
    </row>
    <row r="2168" spans="1:19" x14ac:dyDescent="0.25">
      <c r="A2168" s="9" t="s">
        <v>1117</v>
      </c>
      <c r="B2168" s="9" t="s">
        <v>291</v>
      </c>
      <c r="C2168" s="4">
        <v>201003850</v>
      </c>
      <c r="D2168" s="4" t="s">
        <v>1212</v>
      </c>
      <c r="E2168" s="4" t="str">
        <f>"076122010"</f>
        <v>076122010</v>
      </c>
      <c r="F2168" s="10">
        <v>40333</v>
      </c>
      <c r="G2168" s="11">
        <v>350</v>
      </c>
      <c r="H2168" s="11">
        <v>0</v>
      </c>
      <c r="I2168" s="4"/>
      <c r="J2168" s="4"/>
      <c r="K2168" s="11">
        <v>0</v>
      </c>
      <c r="L2168" s="4"/>
      <c r="M2168" s="4"/>
      <c r="N2168" s="11">
        <v>350</v>
      </c>
      <c r="O2168" s="4" t="s">
        <v>56</v>
      </c>
      <c r="P2168" s="4" t="s">
        <v>57</v>
      </c>
      <c r="Q2168" s="11">
        <v>0</v>
      </c>
      <c r="R2168" s="4"/>
      <c r="S2168" s="12"/>
    </row>
    <row r="2169" spans="1:19" x14ac:dyDescent="0.25">
      <c r="A2169" s="9" t="s">
        <v>1117</v>
      </c>
      <c r="B2169" s="9" t="s">
        <v>291</v>
      </c>
      <c r="C2169" s="4">
        <v>201003862</v>
      </c>
      <c r="D2169" s="4" t="s">
        <v>1163</v>
      </c>
      <c r="E2169" s="4" t="str">
        <f>"075822010"</f>
        <v>075822010</v>
      </c>
      <c r="F2169" s="10">
        <v>40331</v>
      </c>
      <c r="G2169" s="11">
        <v>350</v>
      </c>
      <c r="H2169" s="11">
        <v>0</v>
      </c>
      <c r="I2169" s="4"/>
      <c r="J2169" s="4"/>
      <c r="K2169" s="11">
        <v>0</v>
      </c>
      <c r="L2169" s="4"/>
      <c r="M2169" s="4"/>
      <c r="N2169" s="11">
        <v>350</v>
      </c>
      <c r="O2169" s="4" t="s">
        <v>56</v>
      </c>
      <c r="P2169" s="4" t="s">
        <v>57</v>
      </c>
      <c r="Q2169" s="11">
        <v>0</v>
      </c>
      <c r="R2169" s="4"/>
      <c r="S2169" s="12"/>
    </row>
    <row r="2170" spans="1:19" x14ac:dyDescent="0.25">
      <c r="A2170" s="9" t="s">
        <v>1117</v>
      </c>
      <c r="B2170" s="9" t="s">
        <v>291</v>
      </c>
      <c r="C2170" s="4">
        <v>201003871</v>
      </c>
      <c r="D2170" s="4"/>
      <c r="E2170" s="4" t="str">
        <f>"075782010"</f>
        <v>075782010</v>
      </c>
      <c r="F2170" s="10">
        <v>40331</v>
      </c>
      <c r="G2170" s="11">
        <v>359.6</v>
      </c>
      <c r="H2170" s="11">
        <v>0</v>
      </c>
      <c r="I2170" s="4"/>
      <c r="J2170" s="4"/>
      <c r="K2170" s="11">
        <v>0</v>
      </c>
      <c r="L2170" s="4"/>
      <c r="M2170" s="4"/>
      <c r="N2170" s="11">
        <v>359.6</v>
      </c>
      <c r="O2170" s="4" t="s">
        <v>56</v>
      </c>
      <c r="P2170" s="4" t="s">
        <v>57</v>
      </c>
      <c r="Q2170" s="11">
        <v>0</v>
      </c>
      <c r="R2170" s="4"/>
      <c r="S2170" s="12"/>
    </row>
    <row r="2171" spans="1:19" x14ac:dyDescent="0.25">
      <c r="A2171" s="9" t="s">
        <v>1117</v>
      </c>
      <c r="B2171" s="9" t="s">
        <v>291</v>
      </c>
      <c r="C2171" s="4">
        <v>201003879</v>
      </c>
      <c r="D2171" s="4" t="s">
        <v>1554</v>
      </c>
      <c r="E2171" s="4" t="str">
        <f>"075722010"</f>
        <v>075722010</v>
      </c>
      <c r="F2171" s="10">
        <v>40331</v>
      </c>
      <c r="G2171" s="11">
        <v>36.76</v>
      </c>
      <c r="H2171" s="11">
        <v>0</v>
      </c>
      <c r="I2171" s="4"/>
      <c r="J2171" s="4"/>
      <c r="K2171" s="11">
        <v>0</v>
      </c>
      <c r="L2171" s="4"/>
      <c r="M2171" s="4"/>
      <c r="N2171" s="11">
        <v>36.76</v>
      </c>
      <c r="O2171" s="4" t="s">
        <v>56</v>
      </c>
      <c r="P2171" s="4" t="s">
        <v>57</v>
      </c>
      <c r="Q2171" s="11">
        <v>0</v>
      </c>
      <c r="R2171" s="4"/>
      <c r="S2171" s="12"/>
    </row>
    <row r="2172" spans="1:19" x14ac:dyDescent="0.25">
      <c r="A2172" s="9" t="s">
        <v>1117</v>
      </c>
      <c r="B2172" s="9" t="s">
        <v>291</v>
      </c>
      <c r="C2172" s="4">
        <v>201003890</v>
      </c>
      <c r="D2172" s="4" t="s">
        <v>1555</v>
      </c>
      <c r="E2172" s="4" t="str">
        <f>"076252010"</f>
        <v>076252010</v>
      </c>
      <c r="F2172" s="10">
        <v>40333</v>
      </c>
      <c r="G2172" s="11">
        <v>17.13</v>
      </c>
      <c r="H2172" s="11">
        <v>17.13</v>
      </c>
      <c r="I2172" s="4" t="s">
        <v>56</v>
      </c>
      <c r="J2172" s="4" t="s">
        <v>57</v>
      </c>
      <c r="K2172" s="11">
        <v>0</v>
      </c>
      <c r="L2172" s="4"/>
      <c r="M2172" s="4"/>
      <c r="N2172" s="11">
        <v>0</v>
      </c>
      <c r="O2172" s="4"/>
      <c r="P2172" s="4"/>
      <c r="Q2172" s="11">
        <v>0</v>
      </c>
      <c r="R2172" s="4"/>
      <c r="S2172" s="12"/>
    </row>
    <row r="2173" spans="1:19" x14ac:dyDescent="0.25">
      <c r="A2173" s="9" t="s">
        <v>1117</v>
      </c>
      <c r="B2173" s="9" t="s">
        <v>291</v>
      </c>
      <c r="C2173" s="4">
        <v>201003892</v>
      </c>
      <c r="D2173" s="4" t="s">
        <v>1172</v>
      </c>
      <c r="E2173" s="4" t="str">
        <f>"076212010"</f>
        <v>076212010</v>
      </c>
      <c r="F2173" s="10">
        <v>40333</v>
      </c>
      <c r="G2173" s="11">
        <v>250</v>
      </c>
      <c r="H2173" s="11">
        <v>0</v>
      </c>
      <c r="I2173" s="4"/>
      <c r="J2173" s="4"/>
      <c r="K2173" s="11">
        <v>0</v>
      </c>
      <c r="L2173" s="4"/>
      <c r="M2173" s="4"/>
      <c r="N2173" s="11">
        <v>250</v>
      </c>
      <c r="O2173" s="4" t="s">
        <v>56</v>
      </c>
      <c r="P2173" s="4" t="s">
        <v>57</v>
      </c>
      <c r="Q2173" s="11">
        <v>0</v>
      </c>
      <c r="R2173" s="4"/>
      <c r="S2173" s="12"/>
    </row>
    <row r="2174" spans="1:19" x14ac:dyDescent="0.25">
      <c r="A2174" s="9" t="s">
        <v>1117</v>
      </c>
      <c r="B2174" s="9" t="s">
        <v>291</v>
      </c>
      <c r="C2174" s="4">
        <v>201003893</v>
      </c>
      <c r="D2174" s="4" t="s">
        <v>1163</v>
      </c>
      <c r="E2174" s="4" t="str">
        <f>"076102010"</f>
        <v>076102010</v>
      </c>
      <c r="F2174" s="10">
        <v>40333</v>
      </c>
      <c r="G2174" s="11">
        <v>350</v>
      </c>
      <c r="H2174" s="11">
        <v>0</v>
      </c>
      <c r="I2174" s="4"/>
      <c r="J2174" s="4"/>
      <c r="K2174" s="11">
        <v>0</v>
      </c>
      <c r="L2174" s="4"/>
      <c r="M2174" s="4"/>
      <c r="N2174" s="11">
        <v>350</v>
      </c>
      <c r="O2174" s="4" t="s">
        <v>56</v>
      </c>
      <c r="P2174" s="4" t="s">
        <v>57</v>
      </c>
      <c r="Q2174" s="11">
        <v>0</v>
      </c>
      <c r="R2174" s="4"/>
      <c r="S2174" s="12"/>
    </row>
    <row r="2175" spans="1:19" x14ac:dyDescent="0.25">
      <c r="A2175" s="9" t="s">
        <v>1117</v>
      </c>
      <c r="B2175" s="9" t="s">
        <v>291</v>
      </c>
      <c r="C2175" s="4">
        <v>201003900</v>
      </c>
      <c r="D2175" s="4" t="s">
        <v>1504</v>
      </c>
      <c r="E2175" s="4" t="str">
        <f>"080322010"</f>
        <v>080322010</v>
      </c>
      <c r="F2175" s="10">
        <v>40346</v>
      </c>
      <c r="G2175" s="11">
        <v>21.25</v>
      </c>
      <c r="H2175" s="11">
        <v>0</v>
      </c>
      <c r="I2175" s="4"/>
      <c r="J2175" s="4"/>
      <c r="K2175" s="11">
        <v>0</v>
      </c>
      <c r="L2175" s="4"/>
      <c r="M2175" s="4"/>
      <c r="N2175" s="11">
        <v>21.25</v>
      </c>
      <c r="O2175" s="4" t="s">
        <v>56</v>
      </c>
      <c r="P2175" s="4" t="s">
        <v>57</v>
      </c>
      <c r="Q2175" s="11">
        <v>0</v>
      </c>
      <c r="R2175" s="4"/>
      <c r="S2175" s="12"/>
    </row>
    <row r="2176" spans="1:19" x14ac:dyDescent="0.25">
      <c r="A2176" s="9" t="s">
        <v>1117</v>
      </c>
      <c r="B2176" s="9" t="s">
        <v>291</v>
      </c>
      <c r="C2176" s="4">
        <v>201003910</v>
      </c>
      <c r="D2176" s="4" t="s">
        <v>1181</v>
      </c>
      <c r="E2176" s="4" t="str">
        <f>"076902010"</f>
        <v>076902010</v>
      </c>
      <c r="F2176" s="10">
        <v>40337</v>
      </c>
      <c r="G2176" s="11">
        <v>14.25</v>
      </c>
      <c r="H2176" s="11">
        <v>0</v>
      </c>
      <c r="I2176" s="4"/>
      <c r="J2176" s="4"/>
      <c r="K2176" s="11">
        <v>0</v>
      </c>
      <c r="L2176" s="4"/>
      <c r="M2176" s="4"/>
      <c r="N2176" s="11">
        <v>14.25</v>
      </c>
      <c r="O2176" s="4" t="s">
        <v>56</v>
      </c>
      <c r="P2176" s="4" t="s">
        <v>57</v>
      </c>
      <c r="Q2176" s="11">
        <v>0</v>
      </c>
      <c r="R2176" s="4"/>
      <c r="S2176" s="12"/>
    </row>
    <row r="2177" spans="1:19" x14ac:dyDescent="0.25">
      <c r="A2177" s="9" t="s">
        <v>1117</v>
      </c>
      <c r="B2177" s="9" t="s">
        <v>291</v>
      </c>
      <c r="C2177" s="4">
        <v>201003912</v>
      </c>
      <c r="D2177" s="4" t="s">
        <v>1337</v>
      </c>
      <c r="E2177" s="4" t="str">
        <f>"077812010"</f>
        <v>077812010</v>
      </c>
      <c r="F2177" s="10">
        <v>40340</v>
      </c>
      <c r="G2177" s="11">
        <v>350</v>
      </c>
      <c r="H2177" s="11">
        <v>0</v>
      </c>
      <c r="I2177" s="4"/>
      <c r="J2177" s="4"/>
      <c r="K2177" s="11">
        <v>0</v>
      </c>
      <c r="L2177" s="4"/>
      <c r="M2177" s="4"/>
      <c r="N2177" s="11">
        <v>350</v>
      </c>
      <c r="O2177" s="4" t="s">
        <v>56</v>
      </c>
      <c r="P2177" s="4" t="s">
        <v>57</v>
      </c>
      <c r="Q2177" s="11">
        <v>0</v>
      </c>
      <c r="R2177" s="4"/>
      <c r="S2177" s="12"/>
    </row>
    <row r="2178" spans="1:19" x14ac:dyDescent="0.25">
      <c r="A2178" s="9" t="s">
        <v>1117</v>
      </c>
      <c r="B2178" s="9" t="s">
        <v>291</v>
      </c>
      <c r="C2178" s="4">
        <v>201003922</v>
      </c>
      <c r="D2178" s="4" t="s">
        <v>1340</v>
      </c>
      <c r="E2178" s="4" t="str">
        <f>"077852010"</f>
        <v>077852010</v>
      </c>
      <c r="F2178" s="10">
        <v>40340</v>
      </c>
      <c r="G2178" s="11">
        <v>19.98</v>
      </c>
      <c r="H2178" s="11">
        <v>0</v>
      </c>
      <c r="I2178" s="4"/>
      <c r="J2178" s="4"/>
      <c r="K2178" s="11">
        <v>0</v>
      </c>
      <c r="L2178" s="4"/>
      <c r="M2178" s="4"/>
      <c r="N2178" s="11">
        <v>19.98</v>
      </c>
      <c r="O2178" s="4" t="s">
        <v>56</v>
      </c>
      <c r="P2178" s="4" t="s">
        <v>57</v>
      </c>
      <c r="Q2178" s="11">
        <v>0</v>
      </c>
      <c r="R2178" s="4"/>
      <c r="S2178" s="12"/>
    </row>
    <row r="2179" spans="1:19" x14ac:dyDescent="0.25">
      <c r="A2179" s="9" t="s">
        <v>1117</v>
      </c>
      <c r="B2179" s="9" t="s">
        <v>291</v>
      </c>
      <c r="C2179" s="4">
        <v>201003925</v>
      </c>
      <c r="D2179" s="4" t="s">
        <v>1124</v>
      </c>
      <c r="E2179" s="4" t="str">
        <f>"078572010"</f>
        <v>078572010</v>
      </c>
      <c r="F2179" s="10">
        <v>40340</v>
      </c>
      <c r="G2179" s="11">
        <v>56.14</v>
      </c>
      <c r="H2179" s="11">
        <v>0</v>
      </c>
      <c r="I2179" s="4"/>
      <c r="J2179" s="4"/>
      <c r="K2179" s="11">
        <v>0</v>
      </c>
      <c r="L2179" s="4"/>
      <c r="M2179" s="4"/>
      <c r="N2179" s="11">
        <v>56.14</v>
      </c>
      <c r="O2179" s="4" t="s">
        <v>56</v>
      </c>
      <c r="P2179" s="4" t="s">
        <v>57</v>
      </c>
      <c r="Q2179" s="11">
        <v>0</v>
      </c>
      <c r="R2179" s="4"/>
      <c r="S2179" s="12"/>
    </row>
    <row r="2180" spans="1:19" x14ac:dyDescent="0.25">
      <c r="A2180" s="9" t="s">
        <v>1117</v>
      </c>
      <c r="B2180" s="9" t="s">
        <v>291</v>
      </c>
      <c r="C2180" s="4">
        <v>201003926</v>
      </c>
      <c r="D2180" s="4" t="s">
        <v>1340</v>
      </c>
      <c r="E2180" s="4" t="str">
        <f>"078612010"</f>
        <v>078612010</v>
      </c>
      <c r="F2180" s="10">
        <v>40340</v>
      </c>
      <c r="G2180" s="11">
        <v>368.62</v>
      </c>
      <c r="H2180" s="11">
        <v>0</v>
      </c>
      <c r="I2180" s="4"/>
      <c r="J2180" s="4"/>
      <c r="K2180" s="11">
        <v>0</v>
      </c>
      <c r="L2180" s="4"/>
      <c r="M2180" s="4"/>
      <c r="N2180" s="11">
        <v>368.62</v>
      </c>
      <c r="O2180" s="4" t="s">
        <v>56</v>
      </c>
      <c r="P2180" s="4" t="s">
        <v>57</v>
      </c>
      <c r="Q2180" s="11">
        <v>0</v>
      </c>
      <c r="R2180" s="4"/>
      <c r="S2180" s="12"/>
    </row>
    <row r="2181" spans="1:19" x14ac:dyDescent="0.25">
      <c r="A2181" s="9" t="s">
        <v>1117</v>
      </c>
      <c r="B2181" s="9" t="s">
        <v>291</v>
      </c>
      <c r="C2181" s="4">
        <v>201003944</v>
      </c>
      <c r="D2181" s="4" t="s">
        <v>1155</v>
      </c>
      <c r="E2181" s="4" t="str">
        <f>"078942010"</f>
        <v>078942010</v>
      </c>
      <c r="F2181" s="10">
        <v>40344</v>
      </c>
      <c r="G2181" s="11">
        <v>350</v>
      </c>
      <c r="H2181" s="11">
        <v>0</v>
      </c>
      <c r="I2181" s="4"/>
      <c r="J2181" s="4"/>
      <c r="K2181" s="11">
        <v>0</v>
      </c>
      <c r="L2181" s="4"/>
      <c r="M2181" s="4"/>
      <c r="N2181" s="11">
        <v>350</v>
      </c>
      <c r="O2181" s="4" t="s">
        <v>56</v>
      </c>
      <c r="P2181" s="4" t="s">
        <v>57</v>
      </c>
      <c r="Q2181" s="11">
        <v>0</v>
      </c>
      <c r="R2181" s="4"/>
      <c r="S2181" s="12"/>
    </row>
    <row r="2182" spans="1:19" x14ac:dyDescent="0.25">
      <c r="A2182" s="9" t="s">
        <v>1117</v>
      </c>
      <c r="B2182" s="9" t="s">
        <v>291</v>
      </c>
      <c r="C2182" s="4">
        <v>201003950</v>
      </c>
      <c r="D2182" s="4" t="s">
        <v>1556</v>
      </c>
      <c r="E2182" s="4" t="str">
        <f>"079122010"</f>
        <v>079122010</v>
      </c>
      <c r="F2182" s="10">
        <v>40344</v>
      </c>
      <c r="G2182" s="11">
        <v>350</v>
      </c>
      <c r="H2182" s="11">
        <v>0</v>
      </c>
      <c r="I2182" s="4"/>
      <c r="J2182" s="4"/>
      <c r="K2182" s="11">
        <v>0</v>
      </c>
      <c r="L2182" s="4"/>
      <c r="M2182" s="4"/>
      <c r="N2182" s="11">
        <v>350</v>
      </c>
      <c r="O2182" s="4" t="s">
        <v>56</v>
      </c>
      <c r="P2182" s="4" t="s">
        <v>57</v>
      </c>
      <c r="Q2182" s="11">
        <v>0</v>
      </c>
      <c r="R2182" s="4"/>
      <c r="S2182" s="12"/>
    </row>
    <row r="2183" spans="1:19" x14ac:dyDescent="0.25">
      <c r="A2183" s="9" t="s">
        <v>1117</v>
      </c>
      <c r="B2183" s="9" t="s">
        <v>291</v>
      </c>
      <c r="C2183" s="4">
        <v>201003953</v>
      </c>
      <c r="D2183" s="4" t="s">
        <v>1557</v>
      </c>
      <c r="E2183" s="4" t="str">
        <f>"079222010"</f>
        <v>079222010</v>
      </c>
      <c r="F2183" s="10">
        <v>40344</v>
      </c>
      <c r="G2183" s="11">
        <v>800</v>
      </c>
      <c r="H2183" s="11">
        <v>0</v>
      </c>
      <c r="I2183" s="4"/>
      <c r="J2183" s="4"/>
      <c r="K2183" s="11">
        <v>0</v>
      </c>
      <c r="L2183" s="4"/>
      <c r="M2183" s="4"/>
      <c r="N2183" s="11">
        <v>800</v>
      </c>
      <c r="O2183" s="4" t="s">
        <v>56</v>
      </c>
      <c r="P2183" s="4" t="s">
        <v>57</v>
      </c>
      <c r="Q2183" s="11">
        <v>0</v>
      </c>
      <c r="R2183" s="4"/>
      <c r="S2183" s="12"/>
    </row>
    <row r="2184" spans="1:19" x14ac:dyDescent="0.25">
      <c r="A2184" s="9" t="s">
        <v>1117</v>
      </c>
      <c r="B2184" s="9" t="s">
        <v>291</v>
      </c>
      <c r="C2184" s="4">
        <v>201003955</v>
      </c>
      <c r="D2184" s="4" t="s">
        <v>1558</v>
      </c>
      <c r="E2184" s="4" t="str">
        <f>"079202010"</f>
        <v>079202010</v>
      </c>
      <c r="F2184" s="10">
        <v>40344</v>
      </c>
      <c r="G2184" s="11">
        <v>350</v>
      </c>
      <c r="H2184" s="11">
        <v>0</v>
      </c>
      <c r="I2184" s="4"/>
      <c r="J2184" s="4"/>
      <c r="K2184" s="11">
        <v>0</v>
      </c>
      <c r="L2184" s="4"/>
      <c r="M2184" s="4"/>
      <c r="N2184" s="11">
        <v>350</v>
      </c>
      <c r="O2184" s="4" t="s">
        <v>56</v>
      </c>
      <c r="P2184" s="4" t="s">
        <v>57</v>
      </c>
      <c r="Q2184" s="11">
        <v>0</v>
      </c>
      <c r="R2184" s="4"/>
      <c r="S2184" s="12"/>
    </row>
    <row r="2185" spans="1:19" x14ac:dyDescent="0.25">
      <c r="A2185" s="9" t="s">
        <v>1117</v>
      </c>
      <c r="B2185" s="9" t="s">
        <v>291</v>
      </c>
      <c r="C2185" s="4">
        <v>201003958</v>
      </c>
      <c r="D2185" s="4" t="s">
        <v>1165</v>
      </c>
      <c r="E2185" s="4" t="str">
        <f>"078472010"</f>
        <v>078472010</v>
      </c>
      <c r="F2185" s="10">
        <v>40340</v>
      </c>
      <c r="G2185" s="11">
        <v>350</v>
      </c>
      <c r="H2185" s="11">
        <v>0</v>
      </c>
      <c r="I2185" s="4"/>
      <c r="J2185" s="4"/>
      <c r="K2185" s="11">
        <v>0</v>
      </c>
      <c r="L2185" s="4"/>
      <c r="M2185" s="4"/>
      <c r="N2185" s="11">
        <v>350</v>
      </c>
      <c r="O2185" s="4" t="s">
        <v>56</v>
      </c>
      <c r="P2185" s="4" t="s">
        <v>57</v>
      </c>
      <c r="Q2185" s="11">
        <v>0</v>
      </c>
      <c r="R2185" s="4"/>
      <c r="S2185" s="12"/>
    </row>
    <row r="2186" spans="1:19" x14ac:dyDescent="0.25">
      <c r="A2186" s="9" t="s">
        <v>1117</v>
      </c>
      <c r="B2186" s="9" t="s">
        <v>291</v>
      </c>
      <c r="C2186" s="4">
        <v>201003971</v>
      </c>
      <c r="D2186" s="4" t="s">
        <v>1317</v>
      </c>
      <c r="E2186" s="4" t="str">
        <f>"079442010"</f>
        <v>079442010</v>
      </c>
      <c r="F2186" s="10">
        <v>40344</v>
      </c>
      <c r="G2186" s="11">
        <v>12</v>
      </c>
      <c r="H2186" s="11">
        <v>0</v>
      </c>
      <c r="I2186" s="4"/>
      <c r="J2186" s="4"/>
      <c r="K2186" s="11">
        <v>0</v>
      </c>
      <c r="L2186" s="4"/>
      <c r="M2186" s="4"/>
      <c r="N2186" s="11">
        <v>12</v>
      </c>
      <c r="O2186" s="4" t="s">
        <v>56</v>
      </c>
      <c r="P2186" s="4" t="s">
        <v>57</v>
      </c>
      <c r="Q2186" s="11">
        <v>0</v>
      </c>
      <c r="R2186" s="4"/>
      <c r="S2186" s="12"/>
    </row>
    <row r="2187" spans="1:19" x14ac:dyDescent="0.25">
      <c r="A2187" s="9" t="s">
        <v>1117</v>
      </c>
      <c r="B2187" s="9" t="s">
        <v>291</v>
      </c>
      <c r="C2187" s="4">
        <v>201003974</v>
      </c>
      <c r="D2187" s="4" t="s">
        <v>1559</v>
      </c>
      <c r="E2187" s="4" t="str">
        <f>"079002010"</f>
        <v>079002010</v>
      </c>
      <c r="F2187" s="10">
        <v>40344</v>
      </c>
      <c r="G2187" s="11">
        <v>350</v>
      </c>
      <c r="H2187" s="11">
        <v>0</v>
      </c>
      <c r="I2187" s="4"/>
      <c r="J2187" s="4"/>
      <c r="K2187" s="11">
        <v>0</v>
      </c>
      <c r="L2187" s="4"/>
      <c r="M2187" s="4"/>
      <c r="N2187" s="11">
        <v>350</v>
      </c>
      <c r="O2187" s="4" t="s">
        <v>56</v>
      </c>
      <c r="P2187" s="4" t="s">
        <v>57</v>
      </c>
      <c r="Q2187" s="11">
        <v>0</v>
      </c>
      <c r="R2187" s="4"/>
      <c r="S2187" s="12"/>
    </row>
    <row r="2188" spans="1:19" x14ac:dyDescent="0.25">
      <c r="A2188" s="9" t="s">
        <v>1117</v>
      </c>
      <c r="B2188" s="9" t="s">
        <v>291</v>
      </c>
      <c r="C2188" s="4">
        <v>201003976</v>
      </c>
      <c r="D2188" s="4"/>
      <c r="E2188" s="4" t="str">
        <f>"079622010"</f>
        <v>079622010</v>
      </c>
      <c r="F2188" s="10">
        <v>40346</v>
      </c>
      <c r="G2188" s="11">
        <v>4.9000000000000004</v>
      </c>
      <c r="H2188" s="11">
        <v>0</v>
      </c>
      <c r="I2188" s="4"/>
      <c r="J2188" s="4"/>
      <c r="K2188" s="11">
        <v>0</v>
      </c>
      <c r="L2188" s="4"/>
      <c r="M2188" s="4"/>
      <c r="N2188" s="11">
        <v>4.9000000000000004</v>
      </c>
      <c r="O2188" s="4" t="s">
        <v>56</v>
      </c>
      <c r="P2188" s="4" t="s">
        <v>57</v>
      </c>
      <c r="Q2188" s="11">
        <v>0</v>
      </c>
      <c r="R2188" s="4"/>
      <c r="S2188" s="12"/>
    </row>
    <row r="2189" spans="1:19" x14ac:dyDescent="0.25">
      <c r="A2189" s="9" t="s">
        <v>1117</v>
      </c>
      <c r="B2189" s="9" t="s">
        <v>291</v>
      </c>
      <c r="C2189" s="4">
        <v>201003981</v>
      </c>
      <c r="D2189" s="4" t="s">
        <v>1324</v>
      </c>
      <c r="E2189" s="4" t="str">
        <f>"079722010"</f>
        <v>079722010</v>
      </c>
      <c r="F2189" s="10">
        <v>40346</v>
      </c>
      <c r="G2189" s="11">
        <v>374.48</v>
      </c>
      <c r="H2189" s="11">
        <v>0</v>
      </c>
      <c r="I2189" s="4"/>
      <c r="J2189" s="4"/>
      <c r="K2189" s="11">
        <v>0</v>
      </c>
      <c r="L2189" s="4"/>
      <c r="M2189" s="4"/>
      <c r="N2189" s="11">
        <v>374.48</v>
      </c>
      <c r="O2189" s="4" t="s">
        <v>56</v>
      </c>
      <c r="P2189" s="4" t="s">
        <v>57</v>
      </c>
      <c r="Q2189" s="11">
        <v>0</v>
      </c>
      <c r="R2189" s="4"/>
      <c r="S2189" s="12"/>
    </row>
    <row r="2190" spans="1:19" x14ac:dyDescent="0.25">
      <c r="A2190" s="9" t="s">
        <v>1117</v>
      </c>
      <c r="B2190" s="9" t="s">
        <v>291</v>
      </c>
      <c r="C2190" s="4">
        <v>201003987</v>
      </c>
      <c r="D2190" s="4"/>
      <c r="E2190" s="4" t="str">
        <f>"079902010"</f>
        <v>079902010</v>
      </c>
      <c r="F2190" s="10">
        <v>40344</v>
      </c>
      <c r="G2190" s="11">
        <v>350</v>
      </c>
      <c r="H2190" s="11">
        <v>0</v>
      </c>
      <c r="I2190" s="4"/>
      <c r="J2190" s="4"/>
      <c r="K2190" s="11">
        <v>0</v>
      </c>
      <c r="L2190" s="4"/>
      <c r="M2190" s="4"/>
      <c r="N2190" s="11">
        <v>350</v>
      </c>
      <c r="O2190" s="4" t="s">
        <v>56</v>
      </c>
      <c r="P2190" s="4" t="s">
        <v>57</v>
      </c>
      <c r="Q2190" s="11">
        <v>0</v>
      </c>
      <c r="R2190" s="4"/>
      <c r="S2190" s="12"/>
    </row>
    <row r="2191" spans="1:19" x14ac:dyDescent="0.25">
      <c r="A2191" s="9" t="s">
        <v>1117</v>
      </c>
      <c r="B2191" s="9" t="s">
        <v>291</v>
      </c>
      <c r="C2191" s="4">
        <v>201003988</v>
      </c>
      <c r="D2191" s="4" t="s">
        <v>1560</v>
      </c>
      <c r="E2191" s="4" t="str">
        <f>"087882010"</f>
        <v>087882010</v>
      </c>
      <c r="F2191" s="10">
        <v>40360</v>
      </c>
      <c r="G2191" s="11">
        <v>1603.02</v>
      </c>
      <c r="H2191" s="11">
        <v>1603.02</v>
      </c>
      <c r="I2191" s="4" t="s">
        <v>23</v>
      </c>
      <c r="J2191" s="4" t="s">
        <v>24</v>
      </c>
      <c r="K2191" s="11">
        <v>0</v>
      </c>
      <c r="L2191" s="4"/>
      <c r="M2191" s="4"/>
      <c r="N2191" s="11">
        <v>0</v>
      </c>
      <c r="O2191" s="4"/>
      <c r="P2191" s="4"/>
      <c r="Q2191" s="11">
        <v>0</v>
      </c>
      <c r="R2191" s="4"/>
      <c r="S2191" s="12"/>
    </row>
    <row r="2192" spans="1:19" x14ac:dyDescent="0.25">
      <c r="A2192" s="9" t="s">
        <v>1117</v>
      </c>
      <c r="B2192" s="9" t="s">
        <v>291</v>
      </c>
      <c r="C2192" s="4">
        <v>201003994</v>
      </c>
      <c r="D2192" s="4" t="s">
        <v>1561</v>
      </c>
      <c r="E2192" s="4" t="str">
        <f>"079982010"</f>
        <v>079982010</v>
      </c>
      <c r="F2192" s="10">
        <v>40346</v>
      </c>
      <c r="G2192" s="11">
        <v>350</v>
      </c>
      <c r="H2192" s="11">
        <v>0</v>
      </c>
      <c r="I2192" s="4"/>
      <c r="J2192" s="4"/>
      <c r="K2192" s="11">
        <v>0</v>
      </c>
      <c r="L2192" s="4"/>
      <c r="M2192" s="4"/>
      <c r="N2192" s="11">
        <v>350</v>
      </c>
      <c r="O2192" s="4" t="s">
        <v>56</v>
      </c>
      <c r="P2192" s="4" t="s">
        <v>57</v>
      </c>
      <c r="Q2192" s="11">
        <v>0</v>
      </c>
      <c r="R2192" s="4"/>
      <c r="S2192" s="12"/>
    </row>
    <row r="2193" spans="1:19" x14ac:dyDescent="0.25">
      <c r="A2193" s="9" t="s">
        <v>1117</v>
      </c>
      <c r="B2193" s="9" t="s">
        <v>1117</v>
      </c>
      <c r="C2193" s="4">
        <v>201004000</v>
      </c>
      <c r="D2193" s="4" t="s">
        <v>1562</v>
      </c>
      <c r="E2193" s="4" t="str">
        <f>"079502010"</f>
        <v>079502010</v>
      </c>
      <c r="F2193" s="10">
        <v>40344</v>
      </c>
      <c r="G2193" s="11">
        <v>350</v>
      </c>
      <c r="H2193" s="11">
        <v>0</v>
      </c>
      <c r="I2193" s="4"/>
      <c r="J2193" s="4"/>
      <c r="K2193" s="11">
        <v>0</v>
      </c>
      <c r="L2193" s="4"/>
      <c r="M2193" s="4"/>
      <c r="N2193" s="11">
        <v>350</v>
      </c>
      <c r="O2193" s="4" t="s">
        <v>56</v>
      </c>
      <c r="P2193" s="4" t="s">
        <v>57</v>
      </c>
      <c r="Q2193" s="11">
        <v>0</v>
      </c>
      <c r="R2193" s="4"/>
      <c r="S2193" s="12"/>
    </row>
    <row r="2194" spans="1:19" x14ac:dyDescent="0.25">
      <c r="A2194" s="9" t="s">
        <v>1117</v>
      </c>
      <c r="B2194" s="9" t="s">
        <v>291</v>
      </c>
      <c r="C2194" s="4">
        <v>201004007</v>
      </c>
      <c r="D2194" s="4" t="s">
        <v>1201</v>
      </c>
      <c r="E2194" s="4" t="str">
        <f>"079342010"</f>
        <v>079342010</v>
      </c>
      <c r="F2194" s="10">
        <v>40344</v>
      </c>
      <c r="G2194" s="11">
        <v>350</v>
      </c>
      <c r="H2194" s="11">
        <v>0</v>
      </c>
      <c r="I2194" s="4"/>
      <c r="J2194" s="4"/>
      <c r="K2194" s="11">
        <v>0</v>
      </c>
      <c r="L2194" s="4"/>
      <c r="M2194" s="4"/>
      <c r="N2194" s="11">
        <v>350</v>
      </c>
      <c r="O2194" s="4" t="s">
        <v>56</v>
      </c>
      <c r="P2194" s="4" t="s">
        <v>57</v>
      </c>
      <c r="Q2194" s="11">
        <v>0</v>
      </c>
      <c r="R2194" s="4"/>
      <c r="S2194" s="12"/>
    </row>
    <row r="2195" spans="1:19" x14ac:dyDescent="0.25">
      <c r="A2195" s="9" t="s">
        <v>1117</v>
      </c>
      <c r="B2195" s="9" t="s">
        <v>291</v>
      </c>
      <c r="C2195" s="4">
        <v>201004008</v>
      </c>
      <c r="D2195" s="4" t="s">
        <v>1563</v>
      </c>
      <c r="E2195" s="4" t="str">
        <f>"079362010"</f>
        <v>079362010</v>
      </c>
      <c r="F2195" s="10">
        <v>40344</v>
      </c>
      <c r="G2195" s="11">
        <v>350</v>
      </c>
      <c r="H2195" s="11">
        <v>0</v>
      </c>
      <c r="I2195" s="4"/>
      <c r="J2195" s="4"/>
      <c r="K2195" s="11">
        <v>0</v>
      </c>
      <c r="L2195" s="4"/>
      <c r="M2195" s="4"/>
      <c r="N2195" s="11">
        <v>350</v>
      </c>
      <c r="O2195" s="4" t="s">
        <v>56</v>
      </c>
      <c r="P2195" s="4" t="s">
        <v>57</v>
      </c>
      <c r="Q2195" s="11">
        <v>0</v>
      </c>
      <c r="R2195" s="4"/>
      <c r="S2195" s="12"/>
    </row>
    <row r="2196" spans="1:19" x14ac:dyDescent="0.25">
      <c r="A2196" s="9" t="s">
        <v>1117</v>
      </c>
      <c r="B2196" s="9" t="s">
        <v>291</v>
      </c>
      <c r="C2196" s="4">
        <v>201004015</v>
      </c>
      <c r="D2196" s="4" t="s">
        <v>1197</v>
      </c>
      <c r="E2196" s="4" t="str">
        <f>"082772010"</f>
        <v>082772010</v>
      </c>
      <c r="F2196" s="10">
        <v>40347</v>
      </c>
      <c r="G2196" s="11">
        <v>350</v>
      </c>
      <c r="H2196" s="11">
        <v>350</v>
      </c>
      <c r="I2196" s="4" t="s">
        <v>56</v>
      </c>
      <c r="J2196" s="4" t="s">
        <v>57</v>
      </c>
      <c r="K2196" s="11">
        <v>0</v>
      </c>
      <c r="L2196" s="4"/>
      <c r="M2196" s="4"/>
      <c r="N2196" s="11">
        <v>0</v>
      </c>
      <c r="O2196" s="4"/>
      <c r="P2196" s="4"/>
      <c r="Q2196" s="11">
        <v>0</v>
      </c>
      <c r="R2196" s="4"/>
      <c r="S2196" s="12"/>
    </row>
    <row r="2197" spans="1:19" x14ac:dyDescent="0.25">
      <c r="A2197" s="9" t="s">
        <v>1117</v>
      </c>
      <c r="B2197" s="9" t="s">
        <v>291</v>
      </c>
      <c r="C2197" s="4">
        <v>201004035</v>
      </c>
      <c r="D2197" s="4" t="s">
        <v>1564</v>
      </c>
      <c r="E2197" s="4" t="str">
        <f>"080042010"</f>
        <v>080042010</v>
      </c>
      <c r="F2197" s="10">
        <v>40346</v>
      </c>
      <c r="G2197" s="11">
        <v>350</v>
      </c>
      <c r="H2197" s="11">
        <v>0</v>
      </c>
      <c r="I2197" s="4"/>
      <c r="J2197" s="4"/>
      <c r="K2197" s="11">
        <v>0</v>
      </c>
      <c r="L2197" s="4"/>
      <c r="M2197" s="4"/>
      <c r="N2197" s="11">
        <v>350</v>
      </c>
      <c r="O2197" s="4" t="s">
        <v>56</v>
      </c>
      <c r="P2197" s="4" t="s">
        <v>57</v>
      </c>
      <c r="Q2197" s="11">
        <v>0</v>
      </c>
      <c r="R2197" s="4"/>
      <c r="S2197" s="12"/>
    </row>
    <row r="2198" spans="1:19" x14ac:dyDescent="0.25">
      <c r="A2198" s="9" t="s">
        <v>1117</v>
      </c>
      <c r="B2198" s="9" t="s">
        <v>291</v>
      </c>
      <c r="C2198" s="4">
        <v>201004037</v>
      </c>
      <c r="D2198" s="4" t="s">
        <v>1565</v>
      </c>
      <c r="E2198" s="4" t="str">
        <f>"087302010"</f>
        <v>087302010</v>
      </c>
      <c r="F2198" s="10">
        <v>40358</v>
      </c>
      <c r="G2198" s="11">
        <v>25</v>
      </c>
      <c r="H2198" s="11">
        <v>0</v>
      </c>
      <c r="I2198" s="4"/>
      <c r="J2198" s="4"/>
      <c r="K2198" s="11">
        <v>0</v>
      </c>
      <c r="L2198" s="4"/>
      <c r="M2198" s="4"/>
      <c r="N2198" s="11">
        <v>25</v>
      </c>
      <c r="O2198" s="4" t="s">
        <v>56</v>
      </c>
      <c r="P2198" s="4" t="s">
        <v>57</v>
      </c>
      <c r="Q2198" s="11">
        <v>0</v>
      </c>
      <c r="R2198" s="4"/>
      <c r="S2198" s="12"/>
    </row>
    <row r="2199" spans="1:19" x14ac:dyDescent="0.25">
      <c r="A2199" s="9" t="s">
        <v>1117</v>
      </c>
      <c r="B2199" s="9" t="s">
        <v>291</v>
      </c>
      <c r="C2199" s="4">
        <v>201004039</v>
      </c>
      <c r="D2199" s="4" t="s">
        <v>1566</v>
      </c>
      <c r="E2199" s="4" t="str">
        <f>"080122010"</f>
        <v>080122010</v>
      </c>
      <c r="F2199" s="10">
        <v>40346</v>
      </c>
      <c r="G2199" s="11">
        <v>483.77</v>
      </c>
      <c r="H2199" s="11">
        <v>0</v>
      </c>
      <c r="I2199" s="4"/>
      <c r="J2199" s="4"/>
      <c r="K2199" s="11">
        <v>0</v>
      </c>
      <c r="L2199" s="4"/>
      <c r="M2199" s="4"/>
      <c r="N2199" s="11">
        <v>483.77</v>
      </c>
      <c r="O2199" s="4" t="s">
        <v>56</v>
      </c>
      <c r="P2199" s="4" t="s">
        <v>57</v>
      </c>
      <c r="Q2199" s="11">
        <v>0</v>
      </c>
      <c r="R2199" s="4"/>
      <c r="S2199" s="12"/>
    </row>
    <row r="2200" spans="1:19" x14ac:dyDescent="0.25">
      <c r="A2200" s="9" t="s">
        <v>1117</v>
      </c>
      <c r="B2200" s="9" t="s">
        <v>291</v>
      </c>
      <c r="C2200" s="4">
        <v>201004041</v>
      </c>
      <c r="D2200" s="4" t="s">
        <v>1212</v>
      </c>
      <c r="E2200" s="4" t="str">
        <f>"080062010"</f>
        <v>080062010</v>
      </c>
      <c r="F2200" s="10">
        <v>40346</v>
      </c>
      <c r="G2200" s="11">
        <v>350</v>
      </c>
      <c r="H2200" s="11">
        <v>0</v>
      </c>
      <c r="I2200" s="4"/>
      <c r="J2200" s="4"/>
      <c r="K2200" s="11">
        <v>0</v>
      </c>
      <c r="L2200" s="4"/>
      <c r="M2200" s="4"/>
      <c r="N2200" s="11">
        <v>350</v>
      </c>
      <c r="O2200" s="4" t="s">
        <v>56</v>
      </c>
      <c r="P2200" s="4" t="s">
        <v>57</v>
      </c>
      <c r="Q2200" s="11">
        <v>0</v>
      </c>
      <c r="R2200" s="4"/>
      <c r="S2200" s="12"/>
    </row>
    <row r="2201" spans="1:19" x14ac:dyDescent="0.25">
      <c r="A2201" s="9" t="s">
        <v>1117</v>
      </c>
      <c r="B2201" s="9" t="s">
        <v>291</v>
      </c>
      <c r="C2201" s="4">
        <v>201004046</v>
      </c>
      <c r="D2201" s="4" t="s">
        <v>1567</v>
      </c>
      <c r="E2201" s="4" t="str">
        <f>"084662010"</f>
        <v>084662010</v>
      </c>
      <c r="F2201" s="10">
        <v>40354</v>
      </c>
      <c r="G2201" s="11">
        <v>350</v>
      </c>
      <c r="H2201" s="11">
        <v>0</v>
      </c>
      <c r="I2201" s="4"/>
      <c r="J2201" s="4"/>
      <c r="K2201" s="11">
        <v>0</v>
      </c>
      <c r="L2201" s="4"/>
      <c r="M2201" s="4"/>
      <c r="N2201" s="11">
        <v>350</v>
      </c>
      <c r="O2201" s="4" t="s">
        <v>56</v>
      </c>
      <c r="P2201" s="4" t="s">
        <v>57</v>
      </c>
      <c r="Q2201" s="11">
        <v>0</v>
      </c>
      <c r="R2201" s="4"/>
      <c r="S2201" s="12"/>
    </row>
    <row r="2202" spans="1:19" x14ac:dyDescent="0.25">
      <c r="A2202" s="9" t="s">
        <v>1117</v>
      </c>
      <c r="B2202" s="9" t="s">
        <v>291</v>
      </c>
      <c r="C2202" s="4">
        <v>201004054</v>
      </c>
      <c r="D2202" s="4" t="s">
        <v>1568</v>
      </c>
      <c r="E2202" s="4" t="str">
        <f>"080142010"</f>
        <v>080142010</v>
      </c>
      <c r="F2202" s="10">
        <v>40346</v>
      </c>
      <c r="G2202" s="11">
        <v>204.94</v>
      </c>
      <c r="H2202" s="11">
        <v>0</v>
      </c>
      <c r="I2202" s="4"/>
      <c r="J2202" s="4"/>
      <c r="K2202" s="11">
        <v>0</v>
      </c>
      <c r="L2202" s="4"/>
      <c r="M2202" s="4"/>
      <c r="N2202" s="11">
        <v>204.94</v>
      </c>
      <c r="O2202" s="4" t="s">
        <v>56</v>
      </c>
      <c r="P2202" s="4" t="s">
        <v>57</v>
      </c>
      <c r="Q2202" s="11">
        <v>0</v>
      </c>
      <c r="R2202" s="4"/>
      <c r="S2202" s="12"/>
    </row>
    <row r="2203" spans="1:19" x14ac:dyDescent="0.25">
      <c r="A2203" s="9" t="s">
        <v>1117</v>
      </c>
      <c r="B2203" s="9" t="s">
        <v>1117</v>
      </c>
      <c r="C2203" s="4">
        <v>201004060</v>
      </c>
      <c r="D2203" s="4" t="s">
        <v>1569</v>
      </c>
      <c r="E2203" s="4" t="str">
        <f>"080422010"</f>
        <v>080422010</v>
      </c>
      <c r="F2203" s="10">
        <v>40346</v>
      </c>
      <c r="G2203" s="11">
        <v>370.4</v>
      </c>
      <c r="H2203" s="11">
        <v>0</v>
      </c>
      <c r="I2203" s="4"/>
      <c r="J2203" s="4"/>
      <c r="K2203" s="11">
        <v>0</v>
      </c>
      <c r="L2203" s="4"/>
      <c r="M2203" s="4"/>
      <c r="N2203" s="11">
        <v>370.4</v>
      </c>
      <c r="O2203" s="4" t="s">
        <v>56</v>
      </c>
      <c r="P2203" s="4" t="s">
        <v>57</v>
      </c>
      <c r="Q2203" s="11">
        <v>0</v>
      </c>
      <c r="R2203" s="4"/>
      <c r="S2203" s="12"/>
    </row>
    <row r="2204" spans="1:19" x14ac:dyDescent="0.25">
      <c r="A2204" s="9" t="s">
        <v>1117</v>
      </c>
      <c r="B2204" s="9" t="s">
        <v>291</v>
      </c>
      <c r="C2204" s="4">
        <v>201004075</v>
      </c>
      <c r="D2204" s="4" t="s">
        <v>352</v>
      </c>
      <c r="E2204" s="4" t="str">
        <f>"080982010"</f>
        <v>080982010</v>
      </c>
      <c r="F2204" s="10">
        <v>40346</v>
      </c>
      <c r="G2204" s="11">
        <v>350</v>
      </c>
      <c r="H2204" s="11">
        <v>0</v>
      </c>
      <c r="I2204" s="4"/>
      <c r="J2204" s="4"/>
      <c r="K2204" s="11">
        <v>0</v>
      </c>
      <c r="L2204" s="4"/>
      <c r="M2204" s="4"/>
      <c r="N2204" s="11">
        <v>350</v>
      </c>
      <c r="O2204" s="4" t="s">
        <v>56</v>
      </c>
      <c r="P2204" s="4" t="s">
        <v>57</v>
      </c>
      <c r="Q2204" s="11">
        <v>0</v>
      </c>
      <c r="R2204" s="4"/>
      <c r="S2204" s="12"/>
    </row>
    <row r="2205" spans="1:19" x14ac:dyDescent="0.25">
      <c r="A2205" s="9" t="s">
        <v>1117</v>
      </c>
      <c r="B2205" s="9" t="s">
        <v>291</v>
      </c>
      <c r="C2205" s="4">
        <v>201004115</v>
      </c>
      <c r="D2205" s="4" t="s">
        <v>1134</v>
      </c>
      <c r="E2205" s="4" t="str">
        <f>"081002010"</f>
        <v>081002010</v>
      </c>
      <c r="F2205" s="10">
        <v>40346</v>
      </c>
      <c r="G2205" s="11">
        <v>350</v>
      </c>
      <c r="H2205" s="11">
        <v>0</v>
      </c>
      <c r="I2205" s="4"/>
      <c r="J2205" s="4"/>
      <c r="K2205" s="11">
        <v>0</v>
      </c>
      <c r="L2205" s="4"/>
      <c r="M2205" s="4"/>
      <c r="N2205" s="11">
        <v>350</v>
      </c>
      <c r="O2205" s="4" t="s">
        <v>56</v>
      </c>
      <c r="P2205" s="4" t="s">
        <v>57</v>
      </c>
      <c r="Q2205" s="11">
        <v>0</v>
      </c>
      <c r="R2205" s="4"/>
      <c r="S2205" s="12"/>
    </row>
    <row r="2206" spans="1:19" x14ac:dyDescent="0.25">
      <c r="A2206" s="9" t="s">
        <v>1117</v>
      </c>
      <c r="B2206" s="9" t="s">
        <v>291</v>
      </c>
      <c r="C2206" s="4">
        <v>201004121</v>
      </c>
      <c r="D2206" s="4" t="s">
        <v>1285</v>
      </c>
      <c r="E2206" s="4" t="str">
        <f>"081222010"</f>
        <v>081222010</v>
      </c>
      <c r="F2206" s="10">
        <v>40346</v>
      </c>
      <c r="G2206" s="11">
        <v>375.5</v>
      </c>
      <c r="H2206" s="11">
        <v>0</v>
      </c>
      <c r="I2206" s="4"/>
      <c r="J2206" s="4"/>
      <c r="K2206" s="11">
        <v>0</v>
      </c>
      <c r="L2206" s="4"/>
      <c r="M2206" s="4"/>
      <c r="N2206" s="11">
        <v>375.5</v>
      </c>
      <c r="O2206" s="4" t="s">
        <v>56</v>
      </c>
      <c r="P2206" s="4" t="s">
        <v>57</v>
      </c>
      <c r="Q2206" s="11">
        <v>0</v>
      </c>
      <c r="R2206" s="4"/>
      <c r="S2206" s="12"/>
    </row>
    <row r="2207" spans="1:19" x14ac:dyDescent="0.25">
      <c r="A2207" s="9" t="s">
        <v>1117</v>
      </c>
      <c r="B2207" s="9" t="s">
        <v>291</v>
      </c>
      <c r="C2207" s="4">
        <v>201004125</v>
      </c>
      <c r="D2207" s="4" t="s">
        <v>1570</v>
      </c>
      <c r="E2207" s="4" t="str">
        <f>"081422010"</f>
        <v>081422010</v>
      </c>
      <c r="F2207" s="10">
        <v>40353</v>
      </c>
      <c r="G2207" s="11">
        <v>350</v>
      </c>
      <c r="H2207" s="11">
        <v>0</v>
      </c>
      <c r="I2207" s="4"/>
      <c r="J2207" s="4"/>
      <c r="K2207" s="11">
        <v>0</v>
      </c>
      <c r="L2207" s="4"/>
      <c r="M2207" s="4"/>
      <c r="N2207" s="11">
        <v>350</v>
      </c>
      <c r="O2207" s="4" t="s">
        <v>56</v>
      </c>
      <c r="P2207" s="4" t="s">
        <v>57</v>
      </c>
      <c r="Q2207" s="11">
        <v>0</v>
      </c>
      <c r="R2207" s="4"/>
      <c r="S2207" s="12"/>
    </row>
    <row r="2208" spans="1:19" x14ac:dyDescent="0.25">
      <c r="A2208" s="9" t="s">
        <v>1117</v>
      </c>
      <c r="B2208" s="9" t="s">
        <v>291</v>
      </c>
      <c r="C2208" s="4">
        <v>201004126</v>
      </c>
      <c r="D2208" s="4" t="s">
        <v>1570</v>
      </c>
      <c r="E2208" s="4" t="str">
        <f>"081682010"</f>
        <v>081682010</v>
      </c>
      <c r="F2208" s="10">
        <v>40353</v>
      </c>
      <c r="G2208" s="11">
        <v>350</v>
      </c>
      <c r="H2208" s="11">
        <v>0</v>
      </c>
      <c r="I2208" s="4"/>
      <c r="J2208" s="4"/>
      <c r="K2208" s="11">
        <v>0</v>
      </c>
      <c r="L2208" s="4"/>
      <c r="M2208" s="4"/>
      <c r="N2208" s="11">
        <v>350</v>
      </c>
      <c r="O2208" s="4" t="s">
        <v>56</v>
      </c>
      <c r="P2208" s="4" t="s">
        <v>57</v>
      </c>
      <c r="Q2208" s="11">
        <v>0</v>
      </c>
      <c r="R2208" s="4"/>
      <c r="S2208" s="12"/>
    </row>
    <row r="2209" spans="1:19" x14ac:dyDescent="0.25">
      <c r="A2209" s="9" t="s">
        <v>1117</v>
      </c>
      <c r="B2209" s="9" t="s">
        <v>291</v>
      </c>
      <c r="C2209" s="4">
        <v>201004141</v>
      </c>
      <c r="D2209" s="4" t="s">
        <v>1571</v>
      </c>
      <c r="E2209" s="4" t="str">
        <f>"082632010"</f>
        <v>082632010</v>
      </c>
      <c r="F2209" s="10">
        <v>40347</v>
      </c>
      <c r="G2209" s="11">
        <v>380</v>
      </c>
      <c r="H2209" s="11">
        <v>0</v>
      </c>
      <c r="I2209" s="4"/>
      <c r="J2209" s="4"/>
      <c r="K2209" s="11">
        <v>0</v>
      </c>
      <c r="L2209" s="4"/>
      <c r="M2209" s="4"/>
      <c r="N2209" s="11">
        <v>380</v>
      </c>
      <c r="O2209" s="4" t="s">
        <v>56</v>
      </c>
      <c r="P2209" s="4" t="s">
        <v>57</v>
      </c>
      <c r="Q2209" s="11">
        <v>0</v>
      </c>
      <c r="R2209" s="4"/>
      <c r="S2209" s="12"/>
    </row>
    <row r="2210" spans="1:19" x14ac:dyDescent="0.25">
      <c r="A2210" s="9" t="s">
        <v>1117</v>
      </c>
      <c r="B2210" s="9" t="s">
        <v>291</v>
      </c>
      <c r="C2210" s="4">
        <v>201004142</v>
      </c>
      <c r="D2210" s="4" t="s">
        <v>1148</v>
      </c>
      <c r="E2210" s="4" t="str">
        <f>"082042010"</f>
        <v>082042010</v>
      </c>
      <c r="F2210" s="10">
        <v>40347</v>
      </c>
      <c r="G2210" s="11">
        <v>350</v>
      </c>
      <c r="H2210" s="11">
        <v>0</v>
      </c>
      <c r="I2210" s="4"/>
      <c r="J2210" s="4"/>
      <c r="K2210" s="11">
        <v>0</v>
      </c>
      <c r="L2210" s="4"/>
      <c r="M2210" s="4"/>
      <c r="N2210" s="11">
        <v>350</v>
      </c>
      <c r="O2210" s="4" t="s">
        <v>56</v>
      </c>
      <c r="P2210" s="4" t="s">
        <v>57</v>
      </c>
      <c r="Q2210" s="11">
        <v>0</v>
      </c>
      <c r="R2210" s="4"/>
      <c r="S2210" s="12"/>
    </row>
    <row r="2211" spans="1:19" x14ac:dyDescent="0.25">
      <c r="A2211" s="9" t="s">
        <v>1117</v>
      </c>
      <c r="B2211" s="9" t="s">
        <v>291</v>
      </c>
      <c r="C2211" s="4">
        <v>201004147</v>
      </c>
      <c r="D2211" s="4" t="s">
        <v>1211</v>
      </c>
      <c r="E2211" s="4" t="str">
        <f>"081882010"</f>
        <v>081882010</v>
      </c>
      <c r="F2211" s="10">
        <v>40347</v>
      </c>
      <c r="G2211" s="11">
        <v>350</v>
      </c>
      <c r="H2211" s="11">
        <v>350</v>
      </c>
      <c r="I2211" s="4" t="s">
        <v>56</v>
      </c>
      <c r="J2211" s="4" t="s">
        <v>57</v>
      </c>
      <c r="K2211" s="11">
        <v>0</v>
      </c>
      <c r="L2211" s="4"/>
      <c r="M2211" s="4"/>
      <c r="N2211" s="11">
        <v>0</v>
      </c>
      <c r="O2211" s="4"/>
      <c r="P2211" s="4"/>
      <c r="Q2211" s="11">
        <v>0</v>
      </c>
      <c r="R2211" s="4"/>
      <c r="S2211" s="12"/>
    </row>
    <row r="2212" spans="1:19" x14ac:dyDescent="0.25">
      <c r="A2212" s="9" t="s">
        <v>1117</v>
      </c>
      <c r="B2212" s="9" t="s">
        <v>291</v>
      </c>
      <c r="C2212" s="4">
        <v>201004156</v>
      </c>
      <c r="D2212" s="4" t="s">
        <v>1434</v>
      </c>
      <c r="E2212" s="4" t="str">
        <f>"082652010"</f>
        <v>082652010</v>
      </c>
      <c r="F2212" s="10">
        <v>40347</v>
      </c>
      <c r="G2212" s="11">
        <v>350</v>
      </c>
      <c r="H2212" s="11">
        <v>0</v>
      </c>
      <c r="I2212" s="4"/>
      <c r="J2212" s="4"/>
      <c r="K2212" s="11">
        <v>0</v>
      </c>
      <c r="L2212" s="4"/>
      <c r="M2212" s="4"/>
      <c r="N2212" s="11">
        <v>350</v>
      </c>
      <c r="O2212" s="4" t="s">
        <v>56</v>
      </c>
      <c r="P2212" s="4" t="s">
        <v>57</v>
      </c>
      <c r="Q2212" s="11">
        <v>0</v>
      </c>
      <c r="R2212" s="4"/>
      <c r="S2212" s="12"/>
    </row>
    <row r="2213" spans="1:19" x14ac:dyDescent="0.25">
      <c r="A2213" s="9" t="s">
        <v>1117</v>
      </c>
      <c r="B2213" s="9" t="s">
        <v>291</v>
      </c>
      <c r="C2213" s="4">
        <v>201004158</v>
      </c>
      <c r="D2213" s="4"/>
      <c r="E2213" s="4" t="str">
        <f>"082292010"</f>
        <v>082292010</v>
      </c>
      <c r="F2213" s="10">
        <v>40347</v>
      </c>
      <c r="G2213" s="11">
        <v>350</v>
      </c>
      <c r="H2213" s="11">
        <v>0</v>
      </c>
      <c r="I2213" s="4"/>
      <c r="J2213" s="4"/>
      <c r="K2213" s="11">
        <v>0</v>
      </c>
      <c r="L2213" s="4"/>
      <c r="M2213" s="4"/>
      <c r="N2213" s="11">
        <v>350</v>
      </c>
      <c r="O2213" s="4" t="s">
        <v>56</v>
      </c>
      <c r="P2213" s="4" t="s">
        <v>57</v>
      </c>
      <c r="Q2213" s="11">
        <v>0</v>
      </c>
      <c r="R2213" s="4"/>
      <c r="S2213" s="12"/>
    </row>
    <row r="2214" spans="1:19" x14ac:dyDescent="0.25">
      <c r="A2214" s="9" t="s">
        <v>1117</v>
      </c>
      <c r="B2214" s="9" t="s">
        <v>291</v>
      </c>
      <c r="C2214" s="4">
        <v>201004160</v>
      </c>
      <c r="D2214" s="4" t="s">
        <v>1254</v>
      </c>
      <c r="E2214" s="4" t="str">
        <f>"082692010"</f>
        <v>082692010</v>
      </c>
      <c r="F2214" s="10">
        <v>40354</v>
      </c>
      <c r="G2214" s="11">
        <v>350</v>
      </c>
      <c r="H2214" s="11">
        <v>0</v>
      </c>
      <c r="I2214" s="4"/>
      <c r="J2214" s="4"/>
      <c r="K2214" s="11">
        <v>0</v>
      </c>
      <c r="L2214" s="4"/>
      <c r="M2214" s="4"/>
      <c r="N2214" s="11">
        <v>350</v>
      </c>
      <c r="O2214" s="4" t="s">
        <v>56</v>
      </c>
      <c r="P2214" s="4" t="s">
        <v>57</v>
      </c>
      <c r="Q2214" s="11">
        <v>0</v>
      </c>
      <c r="R2214" s="4"/>
      <c r="S2214" s="12"/>
    </row>
    <row r="2215" spans="1:19" x14ac:dyDescent="0.25">
      <c r="A2215" s="9" t="s">
        <v>1117</v>
      </c>
      <c r="B2215" s="9" t="s">
        <v>291</v>
      </c>
      <c r="C2215" s="4">
        <v>201004165</v>
      </c>
      <c r="D2215" s="4" t="s">
        <v>1572</v>
      </c>
      <c r="E2215" s="4" t="str">
        <f>"083542010"</f>
        <v>083542010</v>
      </c>
      <c r="F2215" s="10">
        <v>40352</v>
      </c>
      <c r="G2215" s="11">
        <v>350</v>
      </c>
      <c r="H2215" s="11">
        <v>0</v>
      </c>
      <c r="I2215" s="4"/>
      <c r="J2215" s="4"/>
      <c r="K2215" s="11">
        <v>0</v>
      </c>
      <c r="L2215" s="4"/>
      <c r="M2215" s="4"/>
      <c r="N2215" s="11">
        <v>350</v>
      </c>
      <c r="O2215" s="4" t="s">
        <v>56</v>
      </c>
      <c r="P2215" s="4" t="s">
        <v>57</v>
      </c>
      <c r="Q2215" s="11">
        <v>0</v>
      </c>
      <c r="R2215" s="4"/>
      <c r="S2215" s="12"/>
    </row>
    <row r="2216" spans="1:19" x14ac:dyDescent="0.25">
      <c r="A2216" s="9" t="s">
        <v>1117</v>
      </c>
      <c r="B2216" s="9" t="s">
        <v>291</v>
      </c>
      <c r="C2216" s="4">
        <v>201004170</v>
      </c>
      <c r="D2216" s="4" t="s">
        <v>1182</v>
      </c>
      <c r="E2216" s="4" t="str">
        <f>"082592010"</f>
        <v>082592010</v>
      </c>
      <c r="F2216" s="10">
        <v>40347</v>
      </c>
      <c r="G2216" s="11">
        <v>350</v>
      </c>
      <c r="H2216" s="11">
        <v>0</v>
      </c>
      <c r="I2216" s="4"/>
      <c r="J2216" s="4"/>
      <c r="K2216" s="11">
        <v>0</v>
      </c>
      <c r="L2216" s="4"/>
      <c r="M2216" s="4"/>
      <c r="N2216" s="11">
        <v>350</v>
      </c>
      <c r="O2216" s="4" t="s">
        <v>56</v>
      </c>
      <c r="P2216" s="4" t="s">
        <v>57</v>
      </c>
      <c r="Q2216" s="11">
        <v>0</v>
      </c>
      <c r="R2216" s="4"/>
      <c r="S2216" s="12"/>
    </row>
    <row r="2217" spans="1:19" x14ac:dyDescent="0.25">
      <c r="A2217" s="9" t="s">
        <v>1117</v>
      </c>
      <c r="B2217" s="9" t="s">
        <v>291</v>
      </c>
      <c r="C2217" s="4">
        <v>201004171</v>
      </c>
      <c r="D2217" s="4" t="s">
        <v>1177</v>
      </c>
      <c r="E2217" s="4" t="str">
        <f>"082472010"</f>
        <v>082472010</v>
      </c>
      <c r="F2217" s="10">
        <v>40347</v>
      </c>
      <c r="G2217" s="11">
        <v>26.65</v>
      </c>
      <c r="H2217" s="11">
        <v>0</v>
      </c>
      <c r="I2217" s="4"/>
      <c r="J2217" s="4"/>
      <c r="K2217" s="11">
        <v>0</v>
      </c>
      <c r="L2217" s="4"/>
      <c r="M2217" s="4"/>
      <c r="N2217" s="11">
        <v>26.65</v>
      </c>
      <c r="O2217" s="4" t="s">
        <v>56</v>
      </c>
      <c r="P2217" s="4" t="s">
        <v>57</v>
      </c>
      <c r="Q2217" s="11">
        <v>0</v>
      </c>
      <c r="R2217" s="4"/>
      <c r="S2217" s="12"/>
    </row>
    <row r="2218" spans="1:19" x14ac:dyDescent="0.25">
      <c r="A2218" s="9" t="s">
        <v>1117</v>
      </c>
      <c r="B2218" s="9" t="s">
        <v>291</v>
      </c>
      <c r="C2218" s="4">
        <v>201004172</v>
      </c>
      <c r="D2218" s="4" t="s">
        <v>1174</v>
      </c>
      <c r="E2218" s="4" t="str">
        <f>"082492010"</f>
        <v>082492010</v>
      </c>
      <c r="F2218" s="10">
        <v>40347</v>
      </c>
      <c r="G2218" s="11">
        <v>38.4</v>
      </c>
      <c r="H2218" s="11">
        <v>0</v>
      </c>
      <c r="I2218" s="4"/>
      <c r="J2218" s="4"/>
      <c r="K2218" s="11">
        <v>0</v>
      </c>
      <c r="L2218" s="4"/>
      <c r="M2218" s="4"/>
      <c r="N2218" s="11">
        <v>38.4</v>
      </c>
      <c r="O2218" s="4" t="s">
        <v>56</v>
      </c>
      <c r="P2218" s="4" t="s">
        <v>57</v>
      </c>
      <c r="Q2218" s="11">
        <v>0</v>
      </c>
      <c r="R2218" s="4"/>
      <c r="S2218" s="12"/>
    </row>
    <row r="2219" spans="1:19" x14ac:dyDescent="0.25">
      <c r="A2219" s="9" t="s">
        <v>1117</v>
      </c>
      <c r="B2219" s="9" t="s">
        <v>291</v>
      </c>
      <c r="C2219" s="4">
        <v>201004173</v>
      </c>
      <c r="D2219" s="4" t="s">
        <v>1526</v>
      </c>
      <c r="E2219" s="4" t="str">
        <f>"082572010"</f>
        <v>082572010</v>
      </c>
      <c r="F2219" s="10">
        <v>40347</v>
      </c>
      <c r="G2219" s="11">
        <v>375</v>
      </c>
      <c r="H2219" s="11">
        <v>0</v>
      </c>
      <c r="I2219" s="4"/>
      <c r="J2219" s="4"/>
      <c r="K2219" s="11">
        <v>0</v>
      </c>
      <c r="L2219" s="4"/>
      <c r="M2219" s="4"/>
      <c r="N2219" s="11">
        <v>375</v>
      </c>
      <c r="O2219" s="4" t="s">
        <v>56</v>
      </c>
      <c r="P2219" s="4" t="s">
        <v>57</v>
      </c>
      <c r="Q2219" s="11">
        <v>0</v>
      </c>
      <c r="R2219" s="4"/>
      <c r="S2219" s="12"/>
    </row>
    <row r="2220" spans="1:19" x14ac:dyDescent="0.25">
      <c r="A2220" s="9" t="s">
        <v>1117</v>
      </c>
      <c r="B2220" s="9" t="s">
        <v>291</v>
      </c>
      <c r="C2220" s="4">
        <v>201004175</v>
      </c>
      <c r="D2220" s="4" t="s">
        <v>1181</v>
      </c>
      <c r="E2220" s="4" t="str">
        <f>"082412010"</f>
        <v>082412010</v>
      </c>
      <c r="F2220" s="10">
        <v>40347</v>
      </c>
      <c r="G2220" s="11">
        <v>15.25</v>
      </c>
      <c r="H2220" s="11">
        <v>0</v>
      </c>
      <c r="I2220" s="4"/>
      <c r="J2220" s="4"/>
      <c r="K2220" s="11">
        <v>0</v>
      </c>
      <c r="L2220" s="4"/>
      <c r="M2220" s="4"/>
      <c r="N2220" s="11">
        <v>15.25</v>
      </c>
      <c r="O2220" s="4" t="s">
        <v>56</v>
      </c>
      <c r="P2220" s="4" t="s">
        <v>57</v>
      </c>
      <c r="Q2220" s="11">
        <v>0</v>
      </c>
      <c r="R2220" s="4"/>
      <c r="S2220" s="12"/>
    </row>
    <row r="2221" spans="1:19" x14ac:dyDescent="0.25">
      <c r="A2221" s="9" t="s">
        <v>1117</v>
      </c>
      <c r="B2221" s="9" t="s">
        <v>291</v>
      </c>
      <c r="C2221" s="4">
        <v>201004176</v>
      </c>
      <c r="D2221" s="4" t="s">
        <v>1504</v>
      </c>
      <c r="E2221" s="4" t="str">
        <f>"082752010"</f>
        <v>082752010</v>
      </c>
      <c r="F2221" s="10">
        <v>40347</v>
      </c>
      <c r="G2221" s="11">
        <v>363.95</v>
      </c>
      <c r="H2221" s="11">
        <v>0</v>
      </c>
      <c r="I2221" s="4"/>
      <c r="J2221" s="4"/>
      <c r="K2221" s="11">
        <v>0</v>
      </c>
      <c r="L2221" s="4"/>
      <c r="M2221" s="4"/>
      <c r="N2221" s="11">
        <v>363.95</v>
      </c>
      <c r="O2221" s="4" t="s">
        <v>56</v>
      </c>
      <c r="P2221" s="4" t="s">
        <v>57</v>
      </c>
      <c r="Q2221" s="11">
        <v>0</v>
      </c>
      <c r="R2221" s="4"/>
      <c r="S2221" s="12"/>
    </row>
    <row r="2222" spans="1:19" x14ac:dyDescent="0.25">
      <c r="A2222" s="9" t="s">
        <v>1117</v>
      </c>
      <c r="B2222" s="9" t="s">
        <v>291</v>
      </c>
      <c r="C2222" s="4">
        <v>201004178</v>
      </c>
      <c r="D2222" s="4" t="s">
        <v>1181</v>
      </c>
      <c r="E2222" s="4" t="str">
        <f>"082672010"</f>
        <v>082672010</v>
      </c>
      <c r="F2222" s="10">
        <v>40347</v>
      </c>
      <c r="G2222" s="11">
        <v>18.25</v>
      </c>
      <c r="H2222" s="11">
        <v>0</v>
      </c>
      <c r="I2222" s="4"/>
      <c r="J2222" s="4"/>
      <c r="K2222" s="11">
        <v>0</v>
      </c>
      <c r="L2222" s="4"/>
      <c r="M2222" s="4"/>
      <c r="N2222" s="11">
        <v>18.25</v>
      </c>
      <c r="O2222" s="4" t="s">
        <v>56</v>
      </c>
      <c r="P2222" s="4" t="s">
        <v>57</v>
      </c>
      <c r="Q2222" s="11">
        <v>0</v>
      </c>
      <c r="R2222" s="4"/>
      <c r="S2222" s="12"/>
    </row>
    <row r="2223" spans="1:19" x14ac:dyDescent="0.25">
      <c r="A2223" s="9" t="s">
        <v>1117</v>
      </c>
      <c r="B2223" s="9" t="s">
        <v>291</v>
      </c>
      <c r="C2223" s="4">
        <v>201004180</v>
      </c>
      <c r="D2223" s="4" t="s">
        <v>1175</v>
      </c>
      <c r="E2223" s="4" t="str">
        <f>"086842010"</f>
        <v>086842010</v>
      </c>
      <c r="F2223" s="10">
        <v>40358</v>
      </c>
      <c r="G2223" s="11">
        <v>9.1999999999999993</v>
      </c>
      <c r="H2223" s="11">
        <v>0</v>
      </c>
      <c r="I2223" s="4"/>
      <c r="J2223" s="4"/>
      <c r="K2223" s="11">
        <v>0</v>
      </c>
      <c r="L2223" s="4"/>
      <c r="M2223" s="4"/>
      <c r="N2223" s="11">
        <v>9.1999999999999993</v>
      </c>
      <c r="O2223" s="4" t="s">
        <v>56</v>
      </c>
      <c r="P2223" s="4" t="s">
        <v>57</v>
      </c>
      <c r="Q2223" s="11">
        <v>0</v>
      </c>
      <c r="R2223" s="4"/>
      <c r="S2223" s="12"/>
    </row>
    <row r="2224" spans="1:19" x14ac:dyDescent="0.25">
      <c r="A2224" s="9" t="s">
        <v>1117</v>
      </c>
      <c r="B2224" s="9" t="s">
        <v>291</v>
      </c>
      <c r="C2224" s="4">
        <v>201004184</v>
      </c>
      <c r="D2224" s="4" t="s">
        <v>1526</v>
      </c>
      <c r="E2224" s="4" t="str">
        <f>"082892010"</f>
        <v>082892010</v>
      </c>
      <c r="F2224" s="10">
        <v>40347</v>
      </c>
      <c r="G2224" s="11">
        <v>365</v>
      </c>
      <c r="H2224" s="11">
        <v>0</v>
      </c>
      <c r="I2224" s="4"/>
      <c r="J2224" s="4"/>
      <c r="K2224" s="11">
        <v>0</v>
      </c>
      <c r="L2224" s="4"/>
      <c r="M2224" s="4"/>
      <c r="N2224" s="11">
        <v>365</v>
      </c>
      <c r="O2224" s="4" t="s">
        <v>56</v>
      </c>
      <c r="P2224" s="4" t="s">
        <v>57</v>
      </c>
      <c r="Q2224" s="11">
        <v>0</v>
      </c>
      <c r="R2224" s="4"/>
      <c r="S2224" s="12"/>
    </row>
    <row r="2225" spans="1:19" x14ac:dyDescent="0.25">
      <c r="A2225" s="9" t="s">
        <v>1117</v>
      </c>
      <c r="B2225" s="9" t="s">
        <v>291</v>
      </c>
      <c r="C2225" s="4">
        <v>201004185</v>
      </c>
      <c r="D2225" s="4" t="s">
        <v>1573</v>
      </c>
      <c r="E2225" s="4" t="str">
        <f>"082912010"</f>
        <v>082912010</v>
      </c>
      <c r="F2225" s="10">
        <v>40347</v>
      </c>
      <c r="G2225" s="11">
        <v>350</v>
      </c>
      <c r="H2225" s="11">
        <v>0</v>
      </c>
      <c r="I2225" s="4"/>
      <c r="J2225" s="4"/>
      <c r="K2225" s="11">
        <v>0</v>
      </c>
      <c r="L2225" s="4"/>
      <c r="M2225" s="4"/>
      <c r="N2225" s="11">
        <v>350</v>
      </c>
      <c r="O2225" s="4" t="s">
        <v>56</v>
      </c>
      <c r="P2225" s="4" t="s">
        <v>57</v>
      </c>
      <c r="Q2225" s="11">
        <v>0</v>
      </c>
      <c r="R2225" s="4"/>
      <c r="S2225" s="12"/>
    </row>
    <row r="2226" spans="1:19" x14ac:dyDescent="0.25">
      <c r="A2226" s="9" t="s">
        <v>1117</v>
      </c>
      <c r="B2226" s="9" t="s">
        <v>291</v>
      </c>
      <c r="C2226" s="4">
        <v>201004187</v>
      </c>
      <c r="D2226" s="4" t="s">
        <v>1177</v>
      </c>
      <c r="E2226" s="4" t="str">
        <f>"082932010"</f>
        <v>082932010</v>
      </c>
      <c r="F2226" s="10">
        <v>40347</v>
      </c>
      <c r="G2226" s="11">
        <v>11.9</v>
      </c>
      <c r="H2226" s="11">
        <v>0</v>
      </c>
      <c r="I2226" s="4"/>
      <c r="J2226" s="4"/>
      <c r="K2226" s="11">
        <v>0</v>
      </c>
      <c r="L2226" s="4"/>
      <c r="M2226" s="4"/>
      <c r="N2226" s="11">
        <v>11.9</v>
      </c>
      <c r="O2226" s="4" t="s">
        <v>56</v>
      </c>
      <c r="P2226" s="4" t="s">
        <v>57</v>
      </c>
      <c r="Q2226" s="11">
        <v>0</v>
      </c>
      <c r="R2226" s="4"/>
      <c r="S2226" s="12"/>
    </row>
    <row r="2227" spans="1:19" x14ac:dyDescent="0.25">
      <c r="A2227" s="9" t="s">
        <v>1117</v>
      </c>
      <c r="B2227" s="9" t="s">
        <v>291</v>
      </c>
      <c r="C2227" s="4">
        <v>201004188</v>
      </c>
      <c r="D2227" s="4" t="s">
        <v>1527</v>
      </c>
      <c r="E2227" s="4" t="str">
        <f>"082852010"</f>
        <v>082852010</v>
      </c>
      <c r="F2227" s="10">
        <v>40347</v>
      </c>
      <c r="G2227" s="11">
        <v>353.3</v>
      </c>
      <c r="H2227" s="11">
        <v>0</v>
      </c>
      <c r="I2227" s="4"/>
      <c r="J2227" s="4"/>
      <c r="K2227" s="11">
        <v>0</v>
      </c>
      <c r="L2227" s="4"/>
      <c r="M2227" s="4"/>
      <c r="N2227" s="11">
        <v>353.3</v>
      </c>
      <c r="O2227" s="4" t="s">
        <v>56</v>
      </c>
      <c r="P2227" s="4" t="s">
        <v>57</v>
      </c>
      <c r="Q2227" s="11">
        <v>0</v>
      </c>
      <c r="R2227" s="4"/>
      <c r="S2227" s="12"/>
    </row>
    <row r="2228" spans="1:19" x14ac:dyDescent="0.25">
      <c r="A2228" s="9" t="s">
        <v>1117</v>
      </c>
      <c r="B2228" s="9" t="s">
        <v>291</v>
      </c>
      <c r="C2228" s="4">
        <v>201004189</v>
      </c>
      <c r="D2228" s="4" t="s">
        <v>1504</v>
      </c>
      <c r="E2228" s="4" t="str">
        <f>"082872010"</f>
        <v>082872010</v>
      </c>
      <c r="F2228" s="10">
        <v>40347</v>
      </c>
      <c r="G2228" s="11">
        <v>361.25</v>
      </c>
      <c r="H2228" s="11">
        <v>0</v>
      </c>
      <c r="I2228" s="4"/>
      <c r="J2228" s="4"/>
      <c r="K2228" s="11">
        <v>0</v>
      </c>
      <c r="L2228" s="4"/>
      <c r="M2228" s="4"/>
      <c r="N2228" s="11">
        <v>361.25</v>
      </c>
      <c r="O2228" s="4" t="s">
        <v>56</v>
      </c>
      <c r="P2228" s="4" t="s">
        <v>57</v>
      </c>
      <c r="Q2228" s="11">
        <v>0</v>
      </c>
      <c r="R2228" s="4"/>
      <c r="S2228" s="12"/>
    </row>
    <row r="2229" spans="1:19" x14ac:dyDescent="0.25">
      <c r="A2229" s="9" t="s">
        <v>1117</v>
      </c>
      <c r="B2229" s="9" t="s">
        <v>291</v>
      </c>
      <c r="C2229" s="4">
        <v>201004192</v>
      </c>
      <c r="D2229" s="4" t="s">
        <v>1527</v>
      </c>
      <c r="E2229" s="4" t="str">
        <f>"082832010"</f>
        <v>082832010</v>
      </c>
      <c r="F2229" s="10">
        <v>40347</v>
      </c>
      <c r="G2229" s="11">
        <v>352.9</v>
      </c>
      <c r="H2229" s="11">
        <v>0</v>
      </c>
      <c r="I2229" s="4"/>
      <c r="J2229" s="4"/>
      <c r="K2229" s="11">
        <v>0</v>
      </c>
      <c r="L2229" s="4"/>
      <c r="M2229" s="4"/>
      <c r="N2229" s="11">
        <v>352.9</v>
      </c>
      <c r="O2229" s="4" t="s">
        <v>56</v>
      </c>
      <c r="P2229" s="4" t="s">
        <v>57</v>
      </c>
      <c r="Q2229" s="11">
        <v>0</v>
      </c>
      <c r="R2229" s="4"/>
      <c r="S2229" s="12"/>
    </row>
    <row r="2230" spans="1:19" x14ac:dyDescent="0.25">
      <c r="A2230" s="9" t="s">
        <v>1117</v>
      </c>
      <c r="B2230" s="9" t="s">
        <v>291</v>
      </c>
      <c r="C2230" s="4">
        <v>201004195</v>
      </c>
      <c r="D2230" s="4" t="s">
        <v>1265</v>
      </c>
      <c r="E2230" s="4" t="str">
        <f>"082952010"</f>
        <v>082952010</v>
      </c>
      <c r="F2230" s="10">
        <v>40347</v>
      </c>
      <c r="G2230" s="11">
        <v>350</v>
      </c>
      <c r="H2230" s="11">
        <v>0</v>
      </c>
      <c r="I2230" s="4"/>
      <c r="J2230" s="4"/>
      <c r="K2230" s="11">
        <v>0</v>
      </c>
      <c r="L2230" s="4"/>
      <c r="M2230" s="4"/>
      <c r="N2230" s="11">
        <v>350</v>
      </c>
      <c r="O2230" s="4" t="s">
        <v>56</v>
      </c>
      <c r="P2230" s="4" t="s">
        <v>57</v>
      </c>
      <c r="Q2230" s="11">
        <v>0</v>
      </c>
      <c r="R2230" s="4"/>
      <c r="S2230" s="12"/>
    </row>
    <row r="2231" spans="1:19" x14ac:dyDescent="0.25">
      <c r="A2231" s="9" t="s">
        <v>1117</v>
      </c>
      <c r="B2231" s="9" t="s">
        <v>291</v>
      </c>
      <c r="C2231" s="4">
        <v>201004202</v>
      </c>
      <c r="D2231" s="4"/>
      <c r="E2231" s="4" t="str">
        <f>"083822010"</f>
        <v>083822010</v>
      </c>
      <c r="F2231" s="10">
        <v>40358</v>
      </c>
      <c r="G2231" s="11">
        <v>350</v>
      </c>
      <c r="H2231" s="11">
        <v>0</v>
      </c>
      <c r="I2231" s="4"/>
      <c r="J2231" s="4"/>
      <c r="K2231" s="11">
        <v>0</v>
      </c>
      <c r="L2231" s="4"/>
      <c r="M2231" s="4"/>
      <c r="N2231" s="11">
        <v>350</v>
      </c>
      <c r="O2231" s="4" t="s">
        <v>56</v>
      </c>
      <c r="P2231" s="4" t="s">
        <v>57</v>
      </c>
      <c r="Q2231" s="11">
        <v>0</v>
      </c>
      <c r="R2231" s="4"/>
      <c r="S2231" s="12"/>
    </row>
    <row r="2232" spans="1:19" x14ac:dyDescent="0.25">
      <c r="A2232" s="9" t="s">
        <v>1117</v>
      </c>
      <c r="B2232" s="9" t="s">
        <v>291</v>
      </c>
      <c r="C2232" s="4">
        <v>201004211</v>
      </c>
      <c r="D2232" s="4" t="s">
        <v>1574</v>
      </c>
      <c r="E2232" s="4" t="str">
        <f>"083462010"</f>
        <v>083462010</v>
      </c>
      <c r="F2232" s="10">
        <v>40352</v>
      </c>
      <c r="G2232" s="11">
        <v>350</v>
      </c>
      <c r="H2232" s="11">
        <v>0</v>
      </c>
      <c r="I2232" s="4"/>
      <c r="J2232" s="4"/>
      <c r="K2232" s="11">
        <v>0</v>
      </c>
      <c r="L2232" s="4"/>
      <c r="M2232" s="4"/>
      <c r="N2232" s="11">
        <v>350</v>
      </c>
      <c r="O2232" s="4" t="s">
        <v>56</v>
      </c>
      <c r="P2232" s="4" t="s">
        <v>57</v>
      </c>
      <c r="Q2232" s="11">
        <v>0</v>
      </c>
      <c r="R2232" s="4"/>
      <c r="S2232" s="12"/>
    </row>
    <row r="2233" spans="1:19" x14ac:dyDescent="0.25">
      <c r="A2233" s="9" t="s">
        <v>1117</v>
      </c>
      <c r="B2233" s="9" t="s">
        <v>291</v>
      </c>
      <c r="C2233" s="4">
        <v>201004213</v>
      </c>
      <c r="D2233" s="4" t="s">
        <v>1575</v>
      </c>
      <c r="E2233" s="4" t="str">
        <f>"108982010"</f>
        <v>108982010</v>
      </c>
      <c r="F2233" s="10">
        <v>40430</v>
      </c>
      <c r="G2233" s="11">
        <v>350</v>
      </c>
      <c r="H2233" s="11">
        <v>0</v>
      </c>
      <c r="I2233" s="4"/>
      <c r="J2233" s="4"/>
      <c r="K2233" s="11">
        <v>0</v>
      </c>
      <c r="L2233" s="4"/>
      <c r="M2233" s="4"/>
      <c r="N2233" s="11">
        <v>350</v>
      </c>
      <c r="O2233" s="4" t="s">
        <v>56</v>
      </c>
      <c r="P2233" s="4" t="s">
        <v>57</v>
      </c>
      <c r="Q2233" s="11">
        <v>0</v>
      </c>
      <c r="R2233" s="4"/>
      <c r="S2233" s="12"/>
    </row>
    <row r="2234" spans="1:19" x14ac:dyDescent="0.25">
      <c r="A2234" s="9" t="s">
        <v>1117</v>
      </c>
      <c r="B2234" s="9" t="s">
        <v>291</v>
      </c>
      <c r="C2234" s="4">
        <v>201004216</v>
      </c>
      <c r="D2234" s="4" t="s">
        <v>1576</v>
      </c>
      <c r="E2234" s="4" t="str">
        <f>"088162010"</f>
        <v>088162010</v>
      </c>
      <c r="F2234" s="10">
        <v>40367</v>
      </c>
      <c r="G2234" s="11">
        <v>20000</v>
      </c>
      <c r="H2234" s="11">
        <v>20000</v>
      </c>
      <c r="I2234" s="4" t="s">
        <v>23</v>
      </c>
      <c r="J2234" s="4" t="s">
        <v>24</v>
      </c>
      <c r="K2234" s="11">
        <v>0</v>
      </c>
      <c r="L2234" s="4"/>
      <c r="M2234" s="4"/>
      <c r="N2234" s="11">
        <v>0</v>
      </c>
      <c r="O2234" s="4"/>
      <c r="P2234" s="4"/>
      <c r="Q2234" s="11">
        <v>0</v>
      </c>
      <c r="R2234" s="4"/>
      <c r="S2234" s="12"/>
    </row>
    <row r="2235" spans="1:19" x14ac:dyDescent="0.25">
      <c r="A2235" s="9" t="s">
        <v>1117</v>
      </c>
      <c r="B2235" s="9" t="s">
        <v>291</v>
      </c>
      <c r="C2235" s="4">
        <v>201004221</v>
      </c>
      <c r="D2235" s="4" t="s">
        <v>1577</v>
      </c>
      <c r="E2235" s="4" t="str">
        <f>"084102010"</f>
        <v>084102010</v>
      </c>
      <c r="F2235" s="10">
        <v>40358</v>
      </c>
      <c r="G2235" s="11">
        <v>1055.18</v>
      </c>
      <c r="H2235" s="11">
        <v>0</v>
      </c>
      <c r="I2235" s="4"/>
      <c r="J2235" s="4"/>
      <c r="K2235" s="11">
        <v>0</v>
      </c>
      <c r="L2235" s="4"/>
      <c r="M2235" s="4"/>
      <c r="N2235" s="11">
        <v>1055.18</v>
      </c>
      <c r="O2235" s="4" t="s">
        <v>56</v>
      </c>
      <c r="P2235" s="4" t="s">
        <v>57</v>
      </c>
      <c r="Q2235" s="11">
        <v>0</v>
      </c>
      <c r="R2235" s="4"/>
      <c r="S2235" s="12"/>
    </row>
    <row r="2236" spans="1:19" x14ac:dyDescent="0.25">
      <c r="A2236" s="9" t="s">
        <v>1117</v>
      </c>
      <c r="B2236" s="9" t="s">
        <v>291</v>
      </c>
      <c r="C2236" s="4">
        <v>201004225</v>
      </c>
      <c r="D2236" s="4" t="s">
        <v>1143</v>
      </c>
      <c r="E2236" s="4" t="str">
        <f>"084482010"</f>
        <v>084482010</v>
      </c>
      <c r="F2236" s="10">
        <v>40357</v>
      </c>
      <c r="G2236" s="11">
        <v>360</v>
      </c>
      <c r="H2236" s="11">
        <v>0</v>
      </c>
      <c r="I2236" s="4"/>
      <c r="J2236" s="4"/>
      <c r="K2236" s="11">
        <v>0</v>
      </c>
      <c r="L2236" s="4"/>
      <c r="M2236" s="4"/>
      <c r="N2236" s="11">
        <v>360</v>
      </c>
      <c r="O2236" s="4" t="s">
        <v>56</v>
      </c>
      <c r="P2236" s="4" t="s">
        <v>57</v>
      </c>
      <c r="Q2236" s="11">
        <v>0</v>
      </c>
      <c r="R2236" s="4"/>
      <c r="S2236" s="12"/>
    </row>
    <row r="2237" spans="1:19" x14ac:dyDescent="0.25">
      <c r="A2237" s="9" t="s">
        <v>1117</v>
      </c>
      <c r="B2237" s="9" t="s">
        <v>291</v>
      </c>
      <c r="C2237" s="4">
        <v>201004226</v>
      </c>
      <c r="D2237" s="4" t="s">
        <v>1130</v>
      </c>
      <c r="E2237" s="4" t="str">
        <f>"084922010"</f>
        <v>084922010</v>
      </c>
      <c r="F2237" s="10">
        <v>40358</v>
      </c>
      <c r="G2237" s="11">
        <v>10</v>
      </c>
      <c r="H2237" s="11">
        <v>0</v>
      </c>
      <c r="I2237" s="4"/>
      <c r="J2237" s="4"/>
      <c r="K2237" s="11">
        <v>0</v>
      </c>
      <c r="L2237" s="4"/>
      <c r="M2237" s="4"/>
      <c r="N2237" s="11">
        <v>10</v>
      </c>
      <c r="O2237" s="4" t="s">
        <v>56</v>
      </c>
      <c r="P2237" s="4" t="s">
        <v>57</v>
      </c>
      <c r="Q2237" s="11">
        <v>0</v>
      </c>
      <c r="R2237" s="4"/>
      <c r="S2237" s="12"/>
    </row>
    <row r="2238" spans="1:19" x14ac:dyDescent="0.25">
      <c r="A2238" s="9" t="s">
        <v>1117</v>
      </c>
      <c r="B2238" s="9" t="s">
        <v>291</v>
      </c>
      <c r="C2238" s="4">
        <v>201004232</v>
      </c>
      <c r="D2238" s="4" t="s">
        <v>1504</v>
      </c>
      <c r="E2238" s="4" t="str">
        <f>"084122010"</f>
        <v>084122010</v>
      </c>
      <c r="F2238" s="10">
        <v>40358</v>
      </c>
      <c r="G2238" s="11">
        <v>12</v>
      </c>
      <c r="H2238" s="11">
        <v>0</v>
      </c>
      <c r="I2238" s="4"/>
      <c r="J2238" s="4"/>
      <c r="K2238" s="11">
        <v>0</v>
      </c>
      <c r="L2238" s="4"/>
      <c r="M2238" s="4"/>
      <c r="N2238" s="11">
        <v>12</v>
      </c>
      <c r="O2238" s="4" t="s">
        <v>56</v>
      </c>
      <c r="P2238" s="4" t="s">
        <v>57</v>
      </c>
      <c r="Q2238" s="11">
        <v>0</v>
      </c>
      <c r="R2238" s="4"/>
      <c r="S2238" s="12"/>
    </row>
    <row r="2239" spans="1:19" x14ac:dyDescent="0.25">
      <c r="A2239" s="9" t="s">
        <v>1117</v>
      </c>
      <c r="B2239" s="9" t="s">
        <v>291</v>
      </c>
      <c r="C2239" s="4">
        <v>201004233</v>
      </c>
      <c r="D2239" s="4" t="s">
        <v>1504</v>
      </c>
      <c r="E2239" s="4" t="str">
        <f>"084142010"</f>
        <v>084142010</v>
      </c>
      <c r="F2239" s="10">
        <v>40357</v>
      </c>
      <c r="G2239" s="11">
        <v>358.85</v>
      </c>
      <c r="H2239" s="11">
        <v>0</v>
      </c>
      <c r="I2239" s="4"/>
      <c r="J2239" s="4"/>
      <c r="K2239" s="11">
        <v>0</v>
      </c>
      <c r="L2239" s="4"/>
      <c r="M2239" s="4"/>
      <c r="N2239" s="11">
        <v>358.85</v>
      </c>
      <c r="O2239" s="4" t="s">
        <v>56</v>
      </c>
      <c r="P2239" s="4" t="s">
        <v>57</v>
      </c>
      <c r="Q2239" s="11">
        <v>0</v>
      </c>
      <c r="R2239" s="4"/>
      <c r="S2239" s="12"/>
    </row>
    <row r="2240" spans="1:19" x14ac:dyDescent="0.25">
      <c r="A2240" s="9" t="s">
        <v>1117</v>
      </c>
      <c r="B2240" s="9" t="s">
        <v>291</v>
      </c>
      <c r="C2240" s="4">
        <v>201004242</v>
      </c>
      <c r="D2240" s="4" t="s">
        <v>2534</v>
      </c>
      <c r="E2240" s="4" t="str">
        <f>"084382010"</f>
        <v>084382010</v>
      </c>
      <c r="F2240" s="10">
        <v>40357</v>
      </c>
      <c r="G2240" s="11">
        <v>350</v>
      </c>
      <c r="H2240" s="11">
        <v>0</v>
      </c>
      <c r="I2240" s="4"/>
      <c r="J2240" s="4"/>
      <c r="K2240" s="11">
        <v>350</v>
      </c>
      <c r="L2240" s="4" t="s">
        <v>56</v>
      </c>
      <c r="M2240" s="4" t="s">
        <v>57</v>
      </c>
      <c r="N2240" s="11">
        <v>0</v>
      </c>
      <c r="O2240" s="4"/>
      <c r="P2240" s="4"/>
      <c r="Q2240" s="11">
        <v>0</v>
      </c>
      <c r="R2240" s="4"/>
      <c r="S2240" s="12"/>
    </row>
    <row r="2241" spans="1:19" x14ac:dyDescent="0.25">
      <c r="A2241" s="9" t="s">
        <v>1117</v>
      </c>
      <c r="B2241" s="9" t="s">
        <v>291</v>
      </c>
      <c r="C2241" s="4">
        <v>201004243</v>
      </c>
      <c r="D2241" s="4" t="s">
        <v>2534</v>
      </c>
      <c r="E2241" s="4" t="str">
        <f>"084362010"</f>
        <v>084362010</v>
      </c>
      <c r="F2241" s="10">
        <v>40357</v>
      </c>
      <c r="G2241" s="11">
        <v>350</v>
      </c>
      <c r="H2241" s="11">
        <v>0</v>
      </c>
      <c r="I2241" s="4"/>
      <c r="J2241" s="4"/>
      <c r="K2241" s="11">
        <v>350</v>
      </c>
      <c r="L2241" s="4" t="s">
        <v>56</v>
      </c>
      <c r="M2241" s="4" t="s">
        <v>57</v>
      </c>
      <c r="N2241" s="11">
        <v>0</v>
      </c>
      <c r="O2241" s="4"/>
      <c r="P2241" s="4"/>
      <c r="Q2241" s="11">
        <v>0</v>
      </c>
      <c r="R2241" s="4"/>
      <c r="S2241" s="12"/>
    </row>
    <row r="2242" spans="1:19" x14ac:dyDescent="0.25">
      <c r="A2242" s="9" t="s">
        <v>1117</v>
      </c>
      <c r="B2242" s="9" t="s">
        <v>291</v>
      </c>
      <c r="C2242" s="4">
        <v>201004245</v>
      </c>
      <c r="D2242" s="4" t="s">
        <v>2534</v>
      </c>
      <c r="E2242" s="4" t="str">
        <f>"084502010"</f>
        <v>084502010</v>
      </c>
      <c r="F2242" s="10">
        <v>40357</v>
      </c>
      <c r="G2242" s="11">
        <v>350</v>
      </c>
      <c r="H2242" s="11">
        <v>0</v>
      </c>
      <c r="I2242" s="4"/>
      <c r="J2242" s="4"/>
      <c r="K2242" s="11">
        <v>350</v>
      </c>
      <c r="L2242" s="4" t="s">
        <v>56</v>
      </c>
      <c r="M2242" s="4" t="s">
        <v>57</v>
      </c>
      <c r="N2242" s="11">
        <v>0</v>
      </c>
      <c r="O2242" s="4"/>
      <c r="P2242" s="4"/>
      <c r="Q2242" s="11">
        <v>0</v>
      </c>
      <c r="R2242" s="4"/>
      <c r="S2242" s="12"/>
    </row>
    <row r="2243" spans="1:19" x14ac:dyDescent="0.25">
      <c r="A2243" s="9" t="s">
        <v>1117</v>
      </c>
      <c r="B2243" s="9" t="s">
        <v>291</v>
      </c>
      <c r="C2243" s="4">
        <v>201004246</v>
      </c>
      <c r="D2243" s="4" t="s">
        <v>2534</v>
      </c>
      <c r="E2243" s="4" t="str">
        <f>"084402010"</f>
        <v>084402010</v>
      </c>
      <c r="F2243" s="10">
        <v>40357</v>
      </c>
      <c r="G2243" s="11">
        <v>350</v>
      </c>
      <c r="H2243" s="11">
        <v>0</v>
      </c>
      <c r="I2243" s="4"/>
      <c r="J2243" s="4"/>
      <c r="K2243" s="11">
        <v>350</v>
      </c>
      <c r="L2243" s="4" t="s">
        <v>56</v>
      </c>
      <c r="M2243" s="4" t="s">
        <v>57</v>
      </c>
      <c r="N2243" s="11">
        <v>0</v>
      </c>
      <c r="O2243" s="4"/>
      <c r="P2243" s="4"/>
      <c r="Q2243" s="11">
        <v>0</v>
      </c>
      <c r="R2243" s="4"/>
      <c r="S2243" s="12"/>
    </row>
    <row r="2244" spans="1:19" x14ac:dyDescent="0.25">
      <c r="A2244" s="9" t="s">
        <v>1117</v>
      </c>
      <c r="B2244" s="9" t="s">
        <v>291</v>
      </c>
      <c r="C2244" s="4">
        <v>201004247</v>
      </c>
      <c r="D2244" s="4" t="s">
        <v>2534</v>
      </c>
      <c r="E2244" s="4" t="str">
        <f>"084522010"</f>
        <v>084522010</v>
      </c>
      <c r="F2244" s="10">
        <v>40357</v>
      </c>
      <c r="G2244" s="11">
        <v>350</v>
      </c>
      <c r="H2244" s="11">
        <v>0</v>
      </c>
      <c r="I2244" s="4"/>
      <c r="J2244" s="4"/>
      <c r="K2244" s="11">
        <v>350</v>
      </c>
      <c r="L2244" s="4" t="s">
        <v>56</v>
      </c>
      <c r="M2244" s="4" t="s">
        <v>57</v>
      </c>
      <c r="N2244" s="11">
        <v>0</v>
      </c>
      <c r="O2244" s="4"/>
      <c r="P2244" s="4"/>
      <c r="Q2244" s="11">
        <v>0</v>
      </c>
      <c r="R2244" s="4"/>
      <c r="S2244" s="12"/>
    </row>
    <row r="2245" spans="1:19" x14ac:dyDescent="0.25">
      <c r="A2245" s="9" t="s">
        <v>1117</v>
      </c>
      <c r="B2245" s="9" t="s">
        <v>1117</v>
      </c>
      <c r="C2245" s="4">
        <v>201004250</v>
      </c>
      <c r="D2245" s="4" t="s">
        <v>1130</v>
      </c>
      <c r="E2245" s="4" t="str">
        <f>"084462010"</f>
        <v>084462010</v>
      </c>
      <c r="F2245" s="10">
        <v>40357</v>
      </c>
      <c r="G2245" s="11">
        <v>10</v>
      </c>
      <c r="H2245" s="11">
        <v>0</v>
      </c>
      <c r="I2245" s="4"/>
      <c r="J2245" s="4"/>
      <c r="K2245" s="11">
        <v>0</v>
      </c>
      <c r="L2245" s="4"/>
      <c r="M2245" s="4"/>
      <c r="N2245" s="11">
        <v>10</v>
      </c>
      <c r="O2245" s="4" t="s">
        <v>56</v>
      </c>
      <c r="P2245" s="4" t="s">
        <v>57</v>
      </c>
      <c r="Q2245" s="11">
        <v>0</v>
      </c>
      <c r="R2245" s="4"/>
      <c r="S2245" s="12"/>
    </row>
    <row r="2246" spans="1:19" x14ac:dyDescent="0.25">
      <c r="A2246" s="9" t="s">
        <v>1117</v>
      </c>
      <c r="B2246" s="9" t="s">
        <v>1117</v>
      </c>
      <c r="C2246" s="4">
        <v>201004251</v>
      </c>
      <c r="D2246" s="4" t="s">
        <v>1579</v>
      </c>
      <c r="E2246" s="4" t="str">
        <f>"084442010"</f>
        <v>084442010</v>
      </c>
      <c r="F2246" s="10">
        <v>40357</v>
      </c>
      <c r="G2246" s="11">
        <v>350</v>
      </c>
      <c r="H2246" s="11">
        <v>0</v>
      </c>
      <c r="I2246" s="4"/>
      <c r="J2246" s="4"/>
      <c r="K2246" s="11">
        <v>0</v>
      </c>
      <c r="L2246" s="4"/>
      <c r="M2246" s="4"/>
      <c r="N2246" s="11">
        <v>350</v>
      </c>
      <c r="O2246" s="4" t="s">
        <v>56</v>
      </c>
      <c r="P2246" s="4" t="s">
        <v>57</v>
      </c>
      <c r="Q2246" s="11">
        <v>0</v>
      </c>
      <c r="R2246" s="4"/>
      <c r="S2246" s="12"/>
    </row>
    <row r="2247" spans="1:19" x14ac:dyDescent="0.25">
      <c r="A2247" s="9" t="s">
        <v>1117</v>
      </c>
      <c r="B2247" s="9" t="s">
        <v>1117</v>
      </c>
      <c r="C2247" s="4">
        <v>201004252</v>
      </c>
      <c r="D2247" s="4" t="s">
        <v>1580</v>
      </c>
      <c r="E2247" s="4" t="str">
        <f>"084422010"</f>
        <v>084422010</v>
      </c>
      <c r="F2247" s="10">
        <v>40357</v>
      </c>
      <c r="G2247" s="11">
        <v>350</v>
      </c>
      <c r="H2247" s="11">
        <v>0</v>
      </c>
      <c r="I2247" s="4"/>
      <c r="J2247" s="4"/>
      <c r="K2247" s="11">
        <v>0</v>
      </c>
      <c r="L2247" s="4"/>
      <c r="M2247" s="4"/>
      <c r="N2247" s="11">
        <v>350</v>
      </c>
      <c r="O2247" s="4" t="s">
        <v>56</v>
      </c>
      <c r="P2247" s="4" t="s">
        <v>57</v>
      </c>
      <c r="Q2247" s="11">
        <v>0</v>
      </c>
      <c r="R2247" s="4"/>
      <c r="S2247" s="12"/>
    </row>
    <row r="2248" spans="1:19" x14ac:dyDescent="0.25">
      <c r="A2248" s="9" t="s">
        <v>1117</v>
      </c>
      <c r="B2248" s="9" t="s">
        <v>1117</v>
      </c>
      <c r="C2248" s="4">
        <v>201004253</v>
      </c>
      <c r="D2248" s="4" t="s">
        <v>1581</v>
      </c>
      <c r="E2248" s="4" t="str">
        <f>"084342010"</f>
        <v>084342010</v>
      </c>
      <c r="F2248" s="10">
        <v>40357</v>
      </c>
      <c r="G2248" s="11">
        <v>350</v>
      </c>
      <c r="H2248" s="11">
        <v>0</v>
      </c>
      <c r="I2248" s="4"/>
      <c r="J2248" s="4"/>
      <c r="K2248" s="11">
        <v>0</v>
      </c>
      <c r="L2248" s="4"/>
      <c r="M2248" s="4"/>
      <c r="N2248" s="11">
        <v>350</v>
      </c>
      <c r="O2248" s="4" t="s">
        <v>56</v>
      </c>
      <c r="P2248" s="4" t="s">
        <v>57</v>
      </c>
      <c r="Q2248" s="11">
        <v>0</v>
      </c>
      <c r="R2248" s="4"/>
      <c r="S2248" s="12"/>
    </row>
    <row r="2249" spans="1:19" x14ac:dyDescent="0.25">
      <c r="A2249" s="9" t="s">
        <v>1117</v>
      </c>
      <c r="B2249" s="9" t="s">
        <v>1117</v>
      </c>
      <c r="C2249" s="4">
        <v>201004254</v>
      </c>
      <c r="D2249" s="4" t="s">
        <v>1582</v>
      </c>
      <c r="E2249" s="4" t="str">
        <f>"084322010"</f>
        <v>084322010</v>
      </c>
      <c r="F2249" s="10">
        <v>40357</v>
      </c>
      <c r="G2249" s="11">
        <v>361.03</v>
      </c>
      <c r="H2249" s="11">
        <v>0</v>
      </c>
      <c r="I2249" s="4"/>
      <c r="J2249" s="4"/>
      <c r="K2249" s="11">
        <v>0</v>
      </c>
      <c r="L2249" s="4"/>
      <c r="M2249" s="4"/>
      <c r="N2249" s="11">
        <v>361.03</v>
      </c>
      <c r="O2249" s="4" t="s">
        <v>56</v>
      </c>
      <c r="P2249" s="4" t="s">
        <v>57</v>
      </c>
      <c r="Q2249" s="11">
        <v>0</v>
      </c>
      <c r="R2249" s="4"/>
      <c r="S2249" s="12"/>
    </row>
    <row r="2250" spans="1:19" x14ac:dyDescent="0.25">
      <c r="A2250" s="9" t="s">
        <v>1117</v>
      </c>
      <c r="B2250" s="9" t="s">
        <v>1117</v>
      </c>
      <c r="C2250" s="4">
        <v>201004255</v>
      </c>
      <c r="D2250" s="4" t="s">
        <v>1131</v>
      </c>
      <c r="E2250" s="4" t="str">
        <f>"084302010"</f>
        <v>084302010</v>
      </c>
      <c r="F2250" s="10">
        <v>40357</v>
      </c>
      <c r="G2250" s="11">
        <v>350</v>
      </c>
      <c r="H2250" s="11">
        <v>0</v>
      </c>
      <c r="I2250" s="4"/>
      <c r="J2250" s="4"/>
      <c r="K2250" s="11">
        <v>0</v>
      </c>
      <c r="L2250" s="4"/>
      <c r="M2250" s="4"/>
      <c r="N2250" s="11">
        <v>350</v>
      </c>
      <c r="O2250" s="4" t="s">
        <v>56</v>
      </c>
      <c r="P2250" s="4" t="s">
        <v>57</v>
      </c>
      <c r="Q2250" s="11">
        <v>0</v>
      </c>
      <c r="R2250" s="4"/>
      <c r="S2250" s="12"/>
    </row>
    <row r="2251" spans="1:19" x14ac:dyDescent="0.25">
      <c r="A2251" s="9" t="s">
        <v>1117</v>
      </c>
      <c r="B2251" s="9" t="s">
        <v>291</v>
      </c>
      <c r="C2251" s="4">
        <v>201004270</v>
      </c>
      <c r="D2251" s="4" t="s">
        <v>1583</v>
      </c>
      <c r="E2251" s="4" t="str">
        <f>"085082010"</f>
        <v>085082010</v>
      </c>
      <c r="F2251" s="10">
        <v>40358</v>
      </c>
      <c r="G2251" s="11">
        <v>350</v>
      </c>
      <c r="H2251" s="11">
        <v>0</v>
      </c>
      <c r="I2251" s="4"/>
      <c r="J2251" s="4"/>
      <c r="K2251" s="11">
        <v>0</v>
      </c>
      <c r="L2251" s="4"/>
      <c r="M2251" s="4"/>
      <c r="N2251" s="11">
        <v>350</v>
      </c>
      <c r="O2251" s="4" t="s">
        <v>56</v>
      </c>
      <c r="P2251" s="4" t="s">
        <v>57</v>
      </c>
      <c r="Q2251" s="11">
        <v>0</v>
      </c>
      <c r="R2251" s="4"/>
      <c r="S2251" s="12"/>
    </row>
    <row r="2252" spans="1:19" x14ac:dyDescent="0.25">
      <c r="A2252" s="9" t="s">
        <v>1117</v>
      </c>
      <c r="B2252" s="9" t="s">
        <v>291</v>
      </c>
      <c r="C2252" s="4">
        <v>201004271</v>
      </c>
      <c r="D2252" s="4" t="s">
        <v>1134</v>
      </c>
      <c r="E2252" s="4" t="str">
        <f>"085062010"</f>
        <v>085062010</v>
      </c>
      <c r="F2252" s="10">
        <v>40358</v>
      </c>
      <c r="G2252" s="11">
        <v>350</v>
      </c>
      <c r="H2252" s="11">
        <v>0</v>
      </c>
      <c r="I2252" s="4"/>
      <c r="J2252" s="4"/>
      <c r="K2252" s="11">
        <v>0</v>
      </c>
      <c r="L2252" s="4"/>
      <c r="M2252" s="4"/>
      <c r="N2252" s="11">
        <v>350</v>
      </c>
      <c r="O2252" s="4" t="s">
        <v>56</v>
      </c>
      <c r="P2252" s="4" t="s">
        <v>57</v>
      </c>
      <c r="Q2252" s="11">
        <v>0</v>
      </c>
      <c r="R2252" s="4"/>
      <c r="S2252" s="12"/>
    </row>
    <row r="2253" spans="1:19" x14ac:dyDescent="0.25">
      <c r="A2253" s="9" t="s">
        <v>1117</v>
      </c>
      <c r="B2253" s="9" t="s">
        <v>291</v>
      </c>
      <c r="C2253" s="4">
        <v>201004275</v>
      </c>
      <c r="D2253" s="4" t="s">
        <v>1504</v>
      </c>
      <c r="E2253" s="4" t="str">
        <f>"084622010"</f>
        <v>084622010</v>
      </c>
      <c r="F2253" s="10">
        <v>40357</v>
      </c>
      <c r="G2253" s="11">
        <v>6.6</v>
      </c>
      <c r="H2253" s="11">
        <v>0</v>
      </c>
      <c r="I2253" s="4"/>
      <c r="J2253" s="4"/>
      <c r="K2253" s="11">
        <v>0</v>
      </c>
      <c r="L2253" s="4"/>
      <c r="M2253" s="4"/>
      <c r="N2253" s="11">
        <v>6.6</v>
      </c>
      <c r="O2253" s="4" t="s">
        <v>56</v>
      </c>
      <c r="P2253" s="4" t="s">
        <v>57</v>
      </c>
      <c r="Q2253" s="11">
        <v>0</v>
      </c>
      <c r="R2253" s="4"/>
      <c r="S2253" s="12"/>
    </row>
    <row r="2254" spans="1:19" x14ac:dyDescent="0.25">
      <c r="A2254" s="9" t="s">
        <v>1117</v>
      </c>
      <c r="B2254" s="9" t="s">
        <v>291</v>
      </c>
      <c r="C2254" s="4">
        <v>201004279</v>
      </c>
      <c r="D2254" s="4" t="s">
        <v>2534</v>
      </c>
      <c r="E2254" s="4" t="str">
        <f>"086342010"</f>
        <v>086342010</v>
      </c>
      <c r="F2254" s="10">
        <v>40358</v>
      </c>
      <c r="G2254" s="11">
        <v>350</v>
      </c>
      <c r="H2254" s="11">
        <v>0</v>
      </c>
      <c r="I2254" s="4"/>
      <c r="J2254" s="4"/>
      <c r="K2254" s="11">
        <v>350</v>
      </c>
      <c r="L2254" s="4" t="s">
        <v>56</v>
      </c>
      <c r="M2254" s="4" t="s">
        <v>57</v>
      </c>
      <c r="N2254" s="11">
        <v>0</v>
      </c>
      <c r="O2254" s="4"/>
      <c r="P2254" s="4"/>
      <c r="Q2254" s="11">
        <v>0</v>
      </c>
      <c r="R2254" s="4"/>
      <c r="S2254" s="12"/>
    </row>
    <row r="2255" spans="1:19" x14ac:dyDescent="0.25">
      <c r="A2255" s="9" t="s">
        <v>1117</v>
      </c>
      <c r="B2255" s="9" t="s">
        <v>291</v>
      </c>
      <c r="C2255" s="4">
        <v>201004280</v>
      </c>
      <c r="D2255" s="4" t="s">
        <v>2534</v>
      </c>
      <c r="E2255" s="4" t="str">
        <f>"085142010"</f>
        <v>085142010</v>
      </c>
      <c r="F2255" s="10">
        <v>40358</v>
      </c>
      <c r="G2255" s="11">
        <v>350</v>
      </c>
      <c r="H2255" s="11">
        <v>0</v>
      </c>
      <c r="I2255" s="4"/>
      <c r="J2255" s="4"/>
      <c r="K2255" s="11">
        <v>350</v>
      </c>
      <c r="L2255" s="4" t="s">
        <v>56</v>
      </c>
      <c r="M2255" s="4" t="s">
        <v>57</v>
      </c>
      <c r="N2255" s="11">
        <v>0</v>
      </c>
      <c r="O2255" s="4"/>
      <c r="P2255" s="4"/>
      <c r="Q2255" s="11">
        <v>0</v>
      </c>
      <c r="R2255" s="4"/>
      <c r="S2255" s="12"/>
    </row>
    <row r="2256" spans="1:19" x14ac:dyDescent="0.25">
      <c r="A2256" s="9" t="s">
        <v>1117</v>
      </c>
      <c r="B2256" s="9" t="s">
        <v>291</v>
      </c>
      <c r="C2256" s="4">
        <v>201004293</v>
      </c>
      <c r="D2256" s="4" t="s">
        <v>1134</v>
      </c>
      <c r="E2256" s="4" t="str">
        <f>"084822010"</f>
        <v>084822010</v>
      </c>
      <c r="F2256" s="10">
        <v>40357</v>
      </c>
      <c r="G2256" s="11">
        <v>350</v>
      </c>
      <c r="H2256" s="11">
        <v>0</v>
      </c>
      <c r="I2256" s="4"/>
      <c r="J2256" s="4"/>
      <c r="K2256" s="11">
        <v>0</v>
      </c>
      <c r="L2256" s="4"/>
      <c r="M2256" s="4"/>
      <c r="N2256" s="11">
        <v>350</v>
      </c>
      <c r="O2256" s="4" t="s">
        <v>56</v>
      </c>
      <c r="P2256" s="4" t="s">
        <v>57</v>
      </c>
      <c r="Q2256" s="11">
        <v>0</v>
      </c>
      <c r="R2256" s="4"/>
      <c r="S2256" s="12"/>
    </row>
    <row r="2257" spans="1:19" x14ac:dyDescent="0.25">
      <c r="A2257" s="9" t="s">
        <v>1117</v>
      </c>
      <c r="B2257" s="9" t="s">
        <v>291</v>
      </c>
      <c r="C2257" s="4">
        <v>201004295</v>
      </c>
      <c r="D2257" s="4" t="s">
        <v>1584</v>
      </c>
      <c r="E2257" s="4" t="str">
        <f>"085742010"</f>
        <v>085742010</v>
      </c>
      <c r="F2257" s="10">
        <v>40357</v>
      </c>
      <c r="G2257" s="11">
        <v>350</v>
      </c>
      <c r="H2257" s="11">
        <v>0</v>
      </c>
      <c r="I2257" s="4"/>
      <c r="J2257" s="4"/>
      <c r="K2257" s="11">
        <v>0</v>
      </c>
      <c r="L2257" s="4"/>
      <c r="M2257" s="4"/>
      <c r="N2257" s="11">
        <v>350</v>
      </c>
      <c r="O2257" s="4" t="s">
        <v>56</v>
      </c>
      <c r="P2257" s="4" t="s">
        <v>57</v>
      </c>
      <c r="Q2257" s="11">
        <v>0</v>
      </c>
      <c r="R2257" s="4"/>
      <c r="S2257" s="12"/>
    </row>
    <row r="2258" spans="1:19" x14ac:dyDescent="0.25">
      <c r="A2258" s="9" t="s">
        <v>1117</v>
      </c>
      <c r="B2258" s="9" t="s">
        <v>291</v>
      </c>
      <c r="C2258" s="4">
        <v>201004297</v>
      </c>
      <c r="D2258" s="4" t="s">
        <v>1134</v>
      </c>
      <c r="E2258" s="4" t="str">
        <f>"084702010"</f>
        <v>084702010</v>
      </c>
      <c r="F2258" s="10">
        <v>40357</v>
      </c>
      <c r="G2258" s="11">
        <v>350</v>
      </c>
      <c r="H2258" s="11">
        <v>0</v>
      </c>
      <c r="I2258" s="4"/>
      <c r="J2258" s="4"/>
      <c r="K2258" s="11">
        <v>0</v>
      </c>
      <c r="L2258" s="4"/>
      <c r="M2258" s="4"/>
      <c r="N2258" s="11">
        <v>350</v>
      </c>
      <c r="O2258" s="4" t="s">
        <v>56</v>
      </c>
      <c r="P2258" s="4" t="s">
        <v>57</v>
      </c>
      <c r="Q2258" s="11">
        <v>0</v>
      </c>
      <c r="R2258" s="4"/>
      <c r="S2258" s="12"/>
    </row>
    <row r="2259" spans="1:19" x14ac:dyDescent="0.25">
      <c r="A2259" s="9" t="s">
        <v>1117</v>
      </c>
      <c r="B2259" s="9" t="s">
        <v>291</v>
      </c>
      <c r="C2259" s="4">
        <v>201004299</v>
      </c>
      <c r="D2259" s="4" t="s">
        <v>1585</v>
      </c>
      <c r="E2259" s="4" t="str">
        <f>"084722010"</f>
        <v>084722010</v>
      </c>
      <c r="F2259" s="10">
        <v>40357</v>
      </c>
      <c r="G2259" s="11">
        <v>350</v>
      </c>
      <c r="H2259" s="11">
        <v>0</v>
      </c>
      <c r="I2259" s="4"/>
      <c r="J2259" s="4"/>
      <c r="K2259" s="11">
        <v>0</v>
      </c>
      <c r="L2259" s="4"/>
      <c r="M2259" s="4"/>
      <c r="N2259" s="11">
        <v>350</v>
      </c>
      <c r="O2259" s="4" t="s">
        <v>56</v>
      </c>
      <c r="P2259" s="4" t="s">
        <v>57</v>
      </c>
      <c r="Q2259" s="11">
        <v>0</v>
      </c>
      <c r="R2259" s="4"/>
      <c r="S2259" s="12"/>
    </row>
    <row r="2260" spans="1:19" x14ac:dyDescent="0.25">
      <c r="A2260" s="9" t="s">
        <v>1117</v>
      </c>
      <c r="B2260" s="9" t="s">
        <v>1117</v>
      </c>
      <c r="C2260" s="4">
        <v>201004317</v>
      </c>
      <c r="D2260" s="4" t="s">
        <v>1131</v>
      </c>
      <c r="E2260" s="4" t="str">
        <f>"086262010"</f>
        <v>086262010</v>
      </c>
      <c r="F2260" s="10">
        <v>40358</v>
      </c>
      <c r="G2260" s="11">
        <v>350</v>
      </c>
      <c r="H2260" s="11">
        <v>0</v>
      </c>
      <c r="I2260" s="4"/>
      <c r="J2260" s="4"/>
      <c r="K2260" s="11">
        <v>0</v>
      </c>
      <c r="L2260" s="4"/>
      <c r="M2260" s="4"/>
      <c r="N2260" s="11">
        <v>350</v>
      </c>
      <c r="O2260" s="4" t="s">
        <v>56</v>
      </c>
      <c r="P2260" s="4" t="s">
        <v>57</v>
      </c>
      <c r="Q2260" s="11">
        <v>0</v>
      </c>
      <c r="R2260" s="4"/>
      <c r="S2260" s="12"/>
    </row>
    <row r="2261" spans="1:19" x14ac:dyDescent="0.25">
      <c r="A2261" s="9" t="s">
        <v>1117</v>
      </c>
      <c r="B2261" s="9" t="s">
        <v>1117</v>
      </c>
      <c r="C2261" s="4">
        <v>201004318</v>
      </c>
      <c r="D2261" s="4" t="s">
        <v>1586</v>
      </c>
      <c r="E2261" s="4" t="str">
        <f>"086242010"</f>
        <v>086242010</v>
      </c>
      <c r="F2261" s="10">
        <v>40358</v>
      </c>
      <c r="G2261" s="11">
        <v>350</v>
      </c>
      <c r="H2261" s="11">
        <v>0</v>
      </c>
      <c r="I2261" s="4"/>
      <c r="J2261" s="4"/>
      <c r="K2261" s="11">
        <v>0</v>
      </c>
      <c r="L2261" s="4"/>
      <c r="M2261" s="4"/>
      <c r="N2261" s="11">
        <v>350</v>
      </c>
      <c r="O2261" s="4" t="s">
        <v>56</v>
      </c>
      <c r="P2261" s="4" t="s">
        <v>57</v>
      </c>
      <c r="Q2261" s="11">
        <v>0</v>
      </c>
      <c r="R2261" s="4"/>
      <c r="S2261" s="12"/>
    </row>
    <row r="2262" spans="1:19" x14ac:dyDescent="0.25">
      <c r="A2262" s="9" t="s">
        <v>1117</v>
      </c>
      <c r="B2262" s="9" t="s">
        <v>291</v>
      </c>
      <c r="C2262" s="4">
        <v>201004333</v>
      </c>
      <c r="D2262" s="4" t="s">
        <v>1587</v>
      </c>
      <c r="E2262" s="4" t="str">
        <f>"086782010"</f>
        <v>086782010</v>
      </c>
      <c r="F2262" s="10">
        <v>40358</v>
      </c>
      <c r="G2262" s="11">
        <v>350</v>
      </c>
      <c r="H2262" s="11">
        <v>0</v>
      </c>
      <c r="I2262" s="4"/>
      <c r="J2262" s="4"/>
      <c r="K2262" s="11">
        <v>0</v>
      </c>
      <c r="L2262" s="4"/>
      <c r="M2262" s="4"/>
      <c r="N2262" s="11">
        <v>350</v>
      </c>
      <c r="O2262" s="4" t="s">
        <v>56</v>
      </c>
      <c r="P2262" s="4" t="s">
        <v>57</v>
      </c>
      <c r="Q2262" s="11">
        <v>0</v>
      </c>
      <c r="R2262" s="4"/>
      <c r="S2262" s="12"/>
    </row>
    <row r="2263" spans="1:19" x14ac:dyDescent="0.25">
      <c r="A2263" s="9" t="s">
        <v>1117</v>
      </c>
      <c r="B2263" s="9" t="s">
        <v>291</v>
      </c>
      <c r="C2263" s="4">
        <v>201004339</v>
      </c>
      <c r="D2263" s="4" t="s">
        <v>1164</v>
      </c>
      <c r="E2263" s="4" t="str">
        <f>"087062010"</f>
        <v>087062010</v>
      </c>
      <c r="F2263" s="10">
        <v>40358</v>
      </c>
      <c r="G2263" s="11">
        <v>350</v>
      </c>
      <c r="H2263" s="11">
        <v>0</v>
      </c>
      <c r="I2263" s="4"/>
      <c r="J2263" s="4"/>
      <c r="K2263" s="11">
        <v>0</v>
      </c>
      <c r="L2263" s="4"/>
      <c r="M2263" s="4"/>
      <c r="N2263" s="11">
        <v>350</v>
      </c>
      <c r="O2263" s="4" t="s">
        <v>56</v>
      </c>
      <c r="P2263" s="4" t="s">
        <v>57</v>
      </c>
      <c r="Q2263" s="11">
        <v>0</v>
      </c>
      <c r="R2263" s="4"/>
      <c r="S2263" s="12"/>
    </row>
    <row r="2264" spans="1:19" x14ac:dyDescent="0.25">
      <c r="A2264" s="9" t="s">
        <v>1117</v>
      </c>
      <c r="B2264" s="9" t="s">
        <v>291</v>
      </c>
      <c r="C2264" s="4">
        <v>201004343</v>
      </c>
      <c r="D2264" s="4" t="s">
        <v>1176</v>
      </c>
      <c r="E2264" s="4" t="str">
        <f>"087002010"</f>
        <v>087002010</v>
      </c>
      <c r="F2264" s="10">
        <v>40358</v>
      </c>
      <c r="G2264" s="11">
        <v>381</v>
      </c>
      <c r="H2264" s="11">
        <v>0</v>
      </c>
      <c r="I2264" s="4"/>
      <c r="J2264" s="4"/>
      <c r="K2264" s="11">
        <v>0</v>
      </c>
      <c r="L2264" s="4"/>
      <c r="M2264" s="4"/>
      <c r="N2264" s="11">
        <v>381</v>
      </c>
      <c r="O2264" s="4" t="s">
        <v>56</v>
      </c>
      <c r="P2264" s="4" t="s">
        <v>57</v>
      </c>
      <c r="Q2264" s="11">
        <v>0</v>
      </c>
      <c r="R2264" s="4"/>
      <c r="S2264" s="12"/>
    </row>
    <row r="2265" spans="1:19" x14ac:dyDescent="0.25">
      <c r="A2265" s="9" t="s">
        <v>1117</v>
      </c>
      <c r="B2265" s="9" t="s">
        <v>291</v>
      </c>
      <c r="C2265" s="4">
        <v>201004345</v>
      </c>
      <c r="D2265" s="4" t="s">
        <v>1588</v>
      </c>
      <c r="E2265" s="4" t="str">
        <f>"086922010"</f>
        <v>086922010</v>
      </c>
      <c r="F2265" s="10">
        <v>40358</v>
      </c>
      <c r="G2265" s="11">
        <v>350</v>
      </c>
      <c r="H2265" s="11">
        <v>0</v>
      </c>
      <c r="I2265" s="4"/>
      <c r="J2265" s="4"/>
      <c r="K2265" s="11">
        <v>0</v>
      </c>
      <c r="L2265" s="4"/>
      <c r="M2265" s="4"/>
      <c r="N2265" s="11">
        <v>350</v>
      </c>
      <c r="O2265" s="4" t="s">
        <v>56</v>
      </c>
      <c r="P2265" s="4" t="s">
        <v>57</v>
      </c>
      <c r="Q2265" s="11">
        <v>0</v>
      </c>
      <c r="R2265" s="4"/>
      <c r="S2265" s="12"/>
    </row>
    <row r="2266" spans="1:19" x14ac:dyDescent="0.25">
      <c r="A2266" s="9" t="s">
        <v>1117</v>
      </c>
      <c r="B2266" s="9" t="s">
        <v>291</v>
      </c>
      <c r="C2266" s="4">
        <v>201004347</v>
      </c>
      <c r="D2266" s="4" t="s">
        <v>1527</v>
      </c>
      <c r="E2266" s="4" t="str">
        <f>"089182010"</f>
        <v>089182010</v>
      </c>
      <c r="F2266" s="10">
        <v>40367</v>
      </c>
      <c r="G2266" s="11">
        <v>353.1</v>
      </c>
      <c r="H2266" s="11">
        <v>0</v>
      </c>
      <c r="I2266" s="4"/>
      <c r="J2266" s="4"/>
      <c r="K2266" s="11">
        <v>0</v>
      </c>
      <c r="L2266" s="4"/>
      <c r="M2266" s="4"/>
      <c r="N2266" s="11">
        <v>353.1</v>
      </c>
      <c r="O2266" s="4" t="s">
        <v>56</v>
      </c>
      <c r="P2266" s="4" t="s">
        <v>57</v>
      </c>
      <c r="Q2266" s="11">
        <v>0</v>
      </c>
      <c r="R2266" s="4"/>
      <c r="S2266" s="12"/>
    </row>
    <row r="2267" spans="1:19" x14ac:dyDescent="0.25">
      <c r="A2267" s="9" t="s">
        <v>1117</v>
      </c>
      <c r="B2267" s="9" t="s">
        <v>291</v>
      </c>
      <c r="C2267" s="4">
        <v>201004348</v>
      </c>
      <c r="D2267" s="4" t="s">
        <v>1176</v>
      </c>
      <c r="E2267" s="4" t="str">
        <f>"086942010"</f>
        <v>086942010</v>
      </c>
      <c r="F2267" s="10">
        <v>40358</v>
      </c>
      <c r="G2267" s="11">
        <v>371</v>
      </c>
      <c r="H2267" s="11">
        <v>0</v>
      </c>
      <c r="I2267" s="4"/>
      <c r="J2267" s="4"/>
      <c r="K2267" s="11">
        <v>0</v>
      </c>
      <c r="L2267" s="4"/>
      <c r="M2267" s="4"/>
      <c r="N2267" s="11">
        <v>371</v>
      </c>
      <c r="O2267" s="4" t="s">
        <v>56</v>
      </c>
      <c r="P2267" s="4" t="s">
        <v>57</v>
      </c>
      <c r="Q2267" s="11">
        <v>0</v>
      </c>
      <c r="R2267" s="4"/>
      <c r="S2267" s="12"/>
    </row>
    <row r="2268" spans="1:19" x14ac:dyDescent="0.25">
      <c r="A2268" s="9" t="s">
        <v>1117</v>
      </c>
      <c r="B2268" s="9" t="s">
        <v>291</v>
      </c>
      <c r="C2268" s="4">
        <v>201004362</v>
      </c>
      <c r="D2268" s="4" t="s">
        <v>1488</v>
      </c>
      <c r="E2268" s="4" t="str">
        <f>"086902010"</f>
        <v>086902010</v>
      </c>
      <c r="F2268" s="10">
        <v>40358</v>
      </c>
      <c r="G2268" s="11">
        <v>77</v>
      </c>
      <c r="H2268" s="11">
        <v>0</v>
      </c>
      <c r="I2268" s="4"/>
      <c r="J2268" s="4"/>
      <c r="K2268" s="11">
        <v>0</v>
      </c>
      <c r="L2268" s="4"/>
      <c r="M2268" s="4"/>
      <c r="N2268" s="11">
        <v>77</v>
      </c>
      <c r="O2268" s="4" t="s">
        <v>56</v>
      </c>
      <c r="P2268" s="4" t="s">
        <v>57</v>
      </c>
      <c r="Q2268" s="11">
        <v>0</v>
      </c>
      <c r="R2268" s="4"/>
      <c r="S2268" s="12"/>
    </row>
    <row r="2269" spans="1:19" x14ac:dyDescent="0.25">
      <c r="A2269" s="9" t="s">
        <v>1117</v>
      </c>
      <c r="B2269" s="9" t="s">
        <v>1117</v>
      </c>
      <c r="C2269" s="4">
        <v>201004363</v>
      </c>
      <c r="D2269" s="4"/>
      <c r="E2269" s="4" t="str">
        <f>"086602010"</f>
        <v>086602010</v>
      </c>
      <c r="F2269" s="10">
        <v>40358</v>
      </c>
      <c r="G2269" s="11">
        <v>353</v>
      </c>
      <c r="H2269" s="11">
        <v>0</v>
      </c>
      <c r="I2269" s="4"/>
      <c r="J2269" s="4"/>
      <c r="K2269" s="11">
        <v>0</v>
      </c>
      <c r="L2269" s="4"/>
      <c r="M2269" s="4"/>
      <c r="N2269" s="11">
        <v>353</v>
      </c>
      <c r="O2269" s="4" t="s">
        <v>56</v>
      </c>
      <c r="P2269" s="4" t="s">
        <v>57</v>
      </c>
      <c r="Q2269" s="11">
        <v>0</v>
      </c>
      <c r="R2269" s="4"/>
      <c r="S2269" s="12"/>
    </row>
    <row r="2270" spans="1:19" x14ac:dyDescent="0.25">
      <c r="A2270" s="9" t="s">
        <v>1117</v>
      </c>
      <c r="B2270" s="9" t="s">
        <v>291</v>
      </c>
      <c r="C2270" s="4">
        <v>201004367</v>
      </c>
      <c r="D2270" s="4" t="s">
        <v>1496</v>
      </c>
      <c r="E2270" s="4" t="str">
        <f>"086722010"</f>
        <v>086722010</v>
      </c>
      <c r="F2270" s="10">
        <v>40358</v>
      </c>
      <c r="G2270" s="11">
        <v>350</v>
      </c>
      <c r="H2270" s="11">
        <v>0</v>
      </c>
      <c r="I2270" s="4"/>
      <c r="J2270" s="4"/>
      <c r="K2270" s="11">
        <v>0</v>
      </c>
      <c r="L2270" s="4"/>
      <c r="M2270" s="4"/>
      <c r="N2270" s="11">
        <v>350</v>
      </c>
      <c r="O2270" s="4" t="s">
        <v>56</v>
      </c>
      <c r="P2270" s="4" t="s">
        <v>57</v>
      </c>
      <c r="Q2270" s="11">
        <v>0</v>
      </c>
      <c r="R2270" s="4"/>
      <c r="S2270" s="12"/>
    </row>
    <row r="2271" spans="1:19" x14ac:dyDescent="0.25">
      <c r="A2271" s="9" t="s">
        <v>1117</v>
      </c>
      <c r="B2271" s="9" t="s">
        <v>291</v>
      </c>
      <c r="C2271" s="4">
        <v>201004368</v>
      </c>
      <c r="D2271" s="4"/>
      <c r="E2271" s="4" t="str">
        <f>"086882010"</f>
        <v>086882010</v>
      </c>
      <c r="F2271" s="10">
        <v>40358</v>
      </c>
      <c r="G2271" s="11">
        <v>74.900000000000006</v>
      </c>
      <c r="H2271" s="11">
        <v>0</v>
      </c>
      <c r="I2271" s="4"/>
      <c r="J2271" s="4"/>
      <c r="K2271" s="11">
        <v>0</v>
      </c>
      <c r="L2271" s="4"/>
      <c r="M2271" s="4"/>
      <c r="N2271" s="11">
        <v>74.900000000000006</v>
      </c>
      <c r="O2271" s="4" t="s">
        <v>56</v>
      </c>
      <c r="P2271" s="4" t="s">
        <v>57</v>
      </c>
      <c r="Q2271" s="11">
        <v>0</v>
      </c>
      <c r="R2271" s="4"/>
      <c r="S2271" s="12"/>
    </row>
    <row r="2272" spans="1:19" x14ac:dyDescent="0.25">
      <c r="A2272" s="9" t="s">
        <v>1117</v>
      </c>
      <c r="B2272" s="9" t="s">
        <v>291</v>
      </c>
      <c r="C2272" s="4">
        <v>201004370</v>
      </c>
      <c r="D2272" s="4" t="s">
        <v>1474</v>
      </c>
      <c r="E2272" s="4" t="str">
        <f>"088062010"</f>
        <v>088062010</v>
      </c>
      <c r="F2272" s="10">
        <v>40367</v>
      </c>
      <c r="G2272" s="11">
        <v>350</v>
      </c>
      <c r="H2272" s="11">
        <v>0</v>
      </c>
      <c r="I2272" s="4"/>
      <c r="J2272" s="4"/>
      <c r="K2272" s="11">
        <v>0</v>
      </c>
      <c r="L2272" s="4"/>
      <c r="M2272" s="4"/>
      <c r="N2272" s="11">
        <v>350</v>
      </c>
      <c r="O2272" s="4" t="s">
        <v>56</v>
      </c>
      <c r="P2272" s="4" t="s">
        <v>57</v>
      </c>
      <c r="Q2272" s="11">
        <v>0</v>
      </c>
      <c r="R2272" s="4"/>
      <c r="S2272" s="12"/>
    </row>
    <row r="2273" spans="1:19" x14ac:dyDescent="0.25">
      <c r="A2273" s="9" t="s">
        <v>1117</v>
      </c>
      <c r="B2273" s="9" t="s">
        <v>291</v>
      </c>
      <c r="C2273" s="4">
        <v>201004378</v>
      </c>
      <c r="D2273" s="4" t="s">
        <v>1391</v>
      </c>
      <c r="E2273" s="4" t="str">
        <f>"088082010"</f>
        <v>088082010</v>
      </c>
      <c r="F2273" s="10">
        <v>40367</v>
      </c>
      <c r="G2273" s="11">
        <v>350</v>
      </c>
      <c r="H2273" s="11">
        <v>0</v>
      </c>
      <c r="I2273" s="4"/>
      <c r="J2273" s="4"/>
      <c r="K2273" s="11">
        <v>0</v>
      </c>
      <c r="L2273" s="4"/>
      <c r="M2273" s="4"/>
      <c r="N2273" s="11">
        <v>350</v>
      </c>
      <c r="O2273" s="4" t="s">
        <v>56</v>
      </c>
      <c r="P2273" s="4" t="s">
        <v>57</v>
      </c>
      <c r="Q2273" s="11">
        <v>0</v>
      </c>
      <c r="R2273" s="4"/>
      <c r="S2273" s="12"/>
    </row>
    <row r="2274" spans="1:19" x14ac:dyDescent="0.25">
      <c r="A2274" s="9" t="s">
        <v>1117</v>
      </c>
      <c r="B2274" s="9" t="s">
        <v>291</v>
      </c>
      <c r="C2274" s="4">
        <v>201004384</v>
      </c>
      <c r="D2274" s="4"/>
      <c r="E2274" s="4" t="str">
        <f>"089262010"</f>
        <v>089262010</v>
      </c>
      <c r="F2274" s="10">
        <v>40367</v>
      </c>
      <c r="G2274" s="11">
        <v>71</v>
      </c>
      <c r="H2274" s="11">
        <v>0</v>
      </c>
      <c r="I2274" s="4"/>
      <c r="J2274" s="4"/>
      <c r="K2274" s="11">
        <v>0</v>
      </c>
      <c r="L2274" s="4"/>
      <c r="M2274" s="4"/>
      <c r="N2274" s="11">
        <v>71</v>
      </c>
      <c r="O2274" s="4" t="s">
        <v>56</v>
      </c>
      <c r="P2274" s="4" t="s">
        <v>57</v>
      </c>
      <c r="Q2274" s="11">
        <v>0</v>
      </c>
      <c r="R2274" s="4"/>
      <c r="S2274" s="12"/>
    </row>
    <row r="2275" spans="1:19" x14ac:dyDescent="0.25">
      <c r="A2275" s="9" t="s">
        <v>1117</v>
      </c>
      <c r="B2275" s="9" t="s">
        <v>291</v>
      </c>
      <c r="C2275" s="4">
        <v>201004385</v>
      </c>
      <c r="D2275" s="4"/>
      <c r="E2275" s="4" t="str">
        <f>"089242010"</f>
        <v>089242010</v>
      </c>
      <c r="F2275" s="10">
        <v>40367</v>
      </c>
      <c r="G2275" s="11">
        <v>350</v>
      </c>
      <c r="H2275" s="11">
        <v>0</v>
      </c>
      <c r="I2275" s="4"/>
      <c r="J2275" s="4"/>
      <c r="K2275" s="11">
        <v>0</v>
      </c>
      <c r="L2275" s="4"/>
      <c r="M2275" s="4"/>
      <c r="N2275" s="11">
        <v>350</v>
      </c>
      <c r="O2275" s="4" t="s">
        <v>56</v>
      </c>
      <c r="P2275" s="4" t="s">
        <v>57</v>
      </c>
      <c r="Q2275" s="11">
        <v>0</v>
      </c>
      <c r="R2275" s="4"/>
      <c r="S2275" s="12"/>
    </row>
    <row r="2276" spans="1:19" x14ac:dyDescent="0.25">
      <c r="A2276" s="9" t="s">
        <v>1117</v>
      </c>
      <c r="B2276" s="9" t="s">
        <v>291</v>
      </c>
      <c r="C2276" s="4">
        <v>201004388</v>
      </c>
      <c r="D2276" s="4"/>
      <c r="E2276" s="4" t="str">
        <f>"087542010"</f>
        <v>087542010</v>
      </c>
      <c r="F2276" s="10">
        <v>40360</v>
      </c>
      <c r="G2276" s="11">
        <v>350</v>
      </c>
      <c r="H2276" s="11">
        <v>0</v>
      </c>
      <c r="I2276" s="4"/>
      <c r="J2276" s="4"/>
      <c r="K2276" s="11">
        <v>0</v>
      </c>
      <c r="L2276" s="4"/>
      <c r="M2276" s="4"/>
      <c r="N2276" s="11">
        <v>350</v>
      </c>
      <c r="O2276" s="4" t="s">
        <v>56</v>
      </c>
      <c r="P2276" s="4" t="s">
        <v>57</v>
      </c>
      <c r="Q2276" s="11">
        <v>0</v>
      </c>
      <c r="R2276" s="4"/>
      <c r="S2276" s="12"/>
    </row>
    <row r="2277" spans="1:19" x14ac:dyDescent="0.25">
      <c r="A2277" s="9" t="s">
        <v>1117</v>
      </c>
      <c r="B2277" s="9" t="s">
        <v>291</v>
      </c>
      <c r="C2277" s="4">
        <v>201004389</v>
      </c>
      <c r="D2277" s="4"/>
      <c r="E2277" s="4" t="str">
        <f>"087522010"</f>
        <v>087522010</v>
      </c>
      <c r="F2277" s="10">
        <v>40358</v>
      </c>
      <c r="G2277" s="11">
        <v>71</v>
      </c>
      <c r="H2277" s="11">
        <v>0</v>
      </c>
      <c r="I2277" s="4"/>
      <c r="J2277" s="4"/>
      <c r="K2277" s="11">
        <v>0</v>
      </c>
      <c r="L2277" s="4"/>
      <c r="M2277" s="4"/>
      <c r="N2277" s="11">
        <v>71</v>
      </c>
      <c r="O2277" s="4" t="s">
        <v>56</v>
      </c>
      <c r="P2277" s="4" t="s">
        <v>57</v>
      </c>
      <c r="Q2277" s="11">
        <v>0</v>
      </c>
      <c r="R2277" s="4"/>
      <c r="S2277" s="12"/>
    </row>
    <row r="2278" spans="1:19" x14ac:dyDescent="0.25">
      <c r="A2278" s="9" t="s">
        <v>1117</v>
      </c>
      <c r="B2278" s="9" t="s">
        <v>291</v>
      </c>
      <c r="C2278" s="4">
        <v>201004402</v>
      </c>
      <c r="D2278" s="4" t="s">
        <v>1589</v>
      </c>
      <c r="E2278" s="4" t="str">
        <f>"088382010"</f>
        <v>088382010</v>
      </c>
      <c r="F2278" s="10">
        <v>40367</v>
      </c>
      <c r="G2278" s="11">
        <v>350</v>
      </c>
      <c r="H2278" s="11">
        <v>0</v>
      </c>
      <c r="I2278" s="4"/>
      <c r="J2278" s="4"/>
      <c r="K2278" s="11">
        <v>0</v>
      </c>
      <c r="L2278" s="4"/>
      <c r="M2278" s="4"/>
      <c r="N2278" s="11">
        <v>350</v>
      </c>
      <c r="O2278" s="4" t="s">
        <v>56</v>
      </c>
      <c r="P2278" s="4" t="s">
        <v>57</v>
      </c>
      <c r="Q2278" s="11">
        <v>0</v>
      </c>
      <c r="R2278" s="4"/>
      <c r="S2278" s="12"/>
    </row>
    <row r="2279" spans="1:19" x14ac:dyDescent="0.25">
      <c r="A2279" s="9" t="s">
        <v>1117</v>
      </c>
      <c r="B2279" s="9" t="s">
        <v>291</v>
      </c>
      <c r="C2279" s="4">
        <v>201004405</v>
      </c>
      <c r="D2279" s="4" t="s">
        <v>1189</v>
      </c>
      <c r="E2279" s="4" t="str">
        <f>"091812010"</f>
        <v>091812010</v>
      </c>
      <c r="F2279" s="10">
        <v>40368</v>
      </c>
      <c r="G2279" s="11">
        <v>350</v>
      </c>
      <c r="H2279" s="11">
        <v>0</v>
      </c>
      <c r="I2279" s="4"/>
      <c r="J2279" s="4"/>
      <c r="K2279" s="11">
        <v>0</v>
      </c>
      <c r="L2279" s="4"/>
      <c r="M2279" s="4"/>
      <c r="N2279" s="11">
        <v>350</v>
      </c>
      <c r="O2279" s="4" t="s">
        <v>56</v>
      </c>
      <c r="P2279" s="4" t="s">
        <v>57</v>
      </c>
      <c r="Q2279" s="11">
        <v>0</v>
      </c>
      <c r="R2279" s="4"/>
      <c r="S2279" s="12"/>
    </row>
    <row r="2280" spans="1:19" x14ac:dyDescent="0.25">
      <c r="A2280" s="9" t="s">
        <v>1117</v>
      </c>
      <c r="B2280" s="9" t="s">
        <v>291</v>
      </c>
      <c r="C2280" s="4">
        <v>201004413</v>
      </c>
      <c r="D2280" s="4"/>
      <c r="E2280" s="4" t="str">
        <f>"089622010"</f>
        <v>089622010</v>
      </c>
      <c r="F2280" s="10">
        <v>40367</v>
      </c>
      <c r="G2280" s="11">
        <v>350</v>
      </c>
      <c r="H2280" s="11">
        <v>0</v>
      </c>
      <c r="I2280" s="4"/>
      <c r="J2280" s="4"/>
      <c r="K2280" s="11">
        <v>0</v>
      </c>
      <c r="L2280" s="4"/>
      <c r="M2280" s="4"/>
      <c r="N2280" s="11">
        <v>350</v>
      </c>
      <c r="O2280" s="4" t="s">
        <v>56</v>
      </c>
      <c r="P2280" s="4" t="s">
        <v>57</v>
      </c>
      <c r="Q2280" s="11">
        <v>0</v>
      </c>
      <c r="R2280" s="4"/>
      <c r="S2280" s="12"/>
    </row>
    <row r="2281" spans="1:19" x14ac:dyDescent="0.25">
      <c r="A2281" s="9" t="s">
        <v>1117</v>
      </c>
      <c r="B2281" s="9" t="s">
        <v>291</v>
      </c>
      <c r="C2281" s="4">
        <v>201004414</v>
      </c>
      <c r="D2281" s="4" t="s">
        <v>1197</v>
      </c>
      <c r="E2281" s="4" t="str">
        <f>"089662010"</f>
        <v>089662010</v>
      </c>
      <c r="F2281" s="10">
        <v>40367</v>
      </c>
      <c r="G2281" s="11">
        <v>350</v>
      </c>
      <c r="H2281" s="11">
        <v>0</v>
      </c>
      <c r="I2281" s="4"/>
      <c r="J2281" s="4"/>
      <c r="K2281" s="11">
        <v>0</v>
      </c>
      <c r="L2281" s="4"/>
      <c r="M2281" s="4"/>
      <c r="N2281" s="11">
        <v>350</v>
      </c>
      <c r="O2281" s="4" t="s">
        <v>56</v>
      </c>
      <c r="P2281" s="4" t="s">
        <v>57</v>
      </c>
      <c r="Q2281" s="11">
        <v>0</v>
      </c>
      <c r="R2281" s="4"/>
      <c r="S2281" s="12"/>
    </row>
    <row r="2282" spans="1:19" x14ac:dyDescent="0.25">
      <c r="A2282" s="9" t="s">
        <v>1117</v>
      </c>
      <c r="B2282" s="9" t="s">
        <v>291</v>
      </c>
      <c r="C2282" s="4">
        <v>201004437</v>
      </c>
      <c r="D2282" s="4" t="s">
        <v>1488</v>
      </c>
      <c r="E2282" s="4" t="str">
        <f>"088482010"</f>
        <v>088482010</v>
      </c>
      <c r="F2282" s="10">
        <v>40360</v>
      </c>
      <c r="G2282" s="11">
        <v>83.65</v>
      </c>
      <c r="H2282" s="11">
        <v>0</v>
      </c>
      <c r="I2282" s="4"/>
      <c r="J2282" s="4"/>
      <c r="K2282" s="11">
        <v>0</v>
      </c>
      <c r="L2282" s="4"/>
      <c r="M2282" s="4"/>
      <c r="N2282" s="11">
        <v>83.65</v>
      </c>
      <c r="O2282" s="4" t="s">
        <v>56</v>
      </c>
      <c r="P2282" s="4" t="s">
        <v>57</v>
      </c>
      <c r="Q2282" s="11">
        <v>0</v>
      </c>
      <c r="R2282" s="4"/>
      <c r="S2282" s="12"/>
    </row>
    <row r="2283" spans="1:19" x14ac:dyDescent="0.25">
      <c r="A2283" s="9" t="s">
        <v>1117</v>
      </c>
      <c r="B2283" s="9" t="s">
        <v>291</v>
      </c>
      <c r="C2283" s="4">
        <v>201004438</v>
      </c>
      <c r="D2283" s="4" t="s">
        <v>1590</v>
      </c>
      <c r="E2283" s="4" t="str">
        <f>"088502010"</f>
        <v>088502010</v>
      </c>
      <c r="F2283" s="10">
        <v>40360</v>
      </c>
      <c r="G2283" s="11">
        <v>250</v>
      </c>
      <c r="H2283" s="11">
        <v>0</v>
      </c>
      <c r="I2283" s="4"/>
      <c r="J2283" s="4"/>
      <c r="K2283" s="11">
        <v>0</v>
      </c>
      <c r="L2283" s="4"/>
      <c r="M2283" s="4"/>
      <c r="N2283" s="11">
        <v>250</v>
      </c>
      <c r="O2283" s="4" t="s">
        <v>56</v>
      </c>
      <c r="P2283" s="4" t="s">
        <v>57</v>
      </c>
      <c r="Q2283" s="11">
        <v>0</v>
      </c>
      <c r="R2283" s="4"/>
      <c r="S2283" s="12"/>
    </row>
    <row r="2284" spans="1:19" x14ac:dyDescent="0.25">
      <c r="A2284" s="9" t="s">
        <v>1117</v>
      </c>
      <c r="B2284" s="9" t="s">
        <v>291</v>
      </c>
      <c r="C2284" s="4">
        <v>201004450</v>
      </c>
      <c r="D2284" s="4" t="s">
        <v>1591</v>
      </c>
      <c r="E2284" s="4" t="str">
        <f>"089762010"</f>
        <v>089762010</v>
      </c>
      <c r="F2284" s="10">
        <v>40367</v>
      </c>
      <c r="G2284" s="11">
        <v>350</v>
      </c>
      <c r="H2284" s="11">
        <v>0</v>
      </c>
      <c r="I2284" s="4"/>
      <c r="J2284" s="4"/>
      <c r="K2284" s="11">
        <v>0</v>
      </c>
      <c r="L2284" s="4"/>
      <c r="M2284" s="4"/>
      <c r="N2284" s="11">
        <v>350</v>
      </c>
      <c r="O2284" s="4" t="s">
        <v>56</v>
      </c>
      <c r="P2284" s="4" t="s">
        <v>57</v>
      </c>
      <c r="Q2284" s="11">
        <v>0</v>
      </c>
      <c r="R2284" s="4"/>
      <c r="S2284" s="12"/>
    </row>
    <row r="2285" spans="1:19" x14ac:dyDescent="0.25">
      <c r="A2285" s="9" t="s">
        <v>1117</v>
      </c>
      <c r="B2285" s="9" t="s">
        <v>291</v>
      </c>
      <c r="C2285" s="4">
        <v>201004456</v>
      </c>
      <c r="D2285" s="4" t="s">
        <v>1592</v>
      </c>
      <c r="E2285" s="4" t="str">
        <f>"089502010"</f>
        <v>089502010</v>
      </c>
      <c r="F2285" s="10">
        <v>40367</v>
      </c>
      <c r="G2285" s="11">
        <v>350</v>
      </c>
      <c r="H2285" s="11">
        <v>0</v>
      </c>
      <c r="I2285" s="4"/>
      <c r="J2285" s="4"/>
      <c r="K2285" s="11">
        <v>0</v>
      </c>
      <c r="L2285" s="4"/>
      <c r="M2285" s="4"/>
      <c r="N2285" s="11">
        <v>350</v>
      </c>
      <c r="O2285" s="4" t="s">
        <v>56</v>
      </c>
      <c r="P2285" s="4" t="s">
        <v>57</v>
      </c>
      <c r="Q2285" s="11">
        <v>0</v>
      </c>
      <c r="R2285" s="4"/>
      <c r="S2285" s="12"/>
    </row>
    <row r="2286" spans="1:19" x14ac:dyDescent="0.25">
      <c r="A2286" s="9" t="s">
        <v>1117</v>
      </c>
      <c r="B2286" s="9" t="s">
        <v>291</v>
      </c>
      <c r="C2286" s="4">
        <v>201004458</v>
      </c>
      <c r="D2286" s="4" t="s">
        <v>1593</v>
      </c>
      <c r="E2286" s="4" t="str">
        <f>"089522010"</f>
        <v>089522010</v>
      </c>
      <c r="F2286" s="10">
        <v>40367</v>
      </c>
      <c r="G2286" s="11">
        <v>350</v>
      </c>
      <c r="H2286" s="11">
        <v>0</v>
      </c>
      <c r="I2286" s="4"/>
      <c r="J2286" s="4"/>
      <c r="K2286" s="11">
        <v>0</v>
      </c>
      <c r="L2286" s="4"/>
      <c r="M2286" s="4"/>
      <c r="N2286" s="11">
        <v>350</v>
      </c>
      <c r="O2286" s="4" t="s">
        <v>56</v>
      </c>
      <c r="P2286" s="4" t="s">
        <v>57</v>
      </c>
      <c r="Q2286" s="11">
        <v>0</v>
      </c>
      <c r="R2286" s="4"/>
      <c r="S2286" s="12"/>
    </row>
    <row r="2287" spans="1:19" x14ac:dyDescent="0.25">
      <c r="A2287" s="9" t="s">
        <v>1117</v>
      </c>
      <c r="B2287" s="9" t="s">
        <v>291</v>
      </c>
      <c r="C2287" s="4">
        <v>201004459</v>
      </c>
      <c r="D2287" s="4" t="s">
        <v>1273</v>
      </c>
      <c r="E2287" s="4" t="str">
        <f>"089542010"</f>
        <v>089542010</v>
      </c>
      <c r="F2287" s="10">
        <v>40367</v>
      </c>
      <c r="G2287" s="11">
        <v>350</v>
      </c>
      <c r="H2287" s="11">
        <v>0</v>
      </c>
      <c r="I2287" s="4"/>
      <c r="J2287" s="4"/>
      <c r="K2287" s="11">
        <v>0</v>
      </c>
      <c r="L2287" s="4"/>
      <c r="M2287" s="4"/>
      <c r="N2287" s="11">
        <v>350</v>
      </c>
      <c r="O2287" s="4" t="s">
        <v>56</v>
      </c>
      <c r="P2287" s="4" t="s">
        <v>57</v>
      </c>
      <c r="Q2287" s="11">
        <v>0</v>
      </c>
      <c r="R2287" s="4"/>
      <c r="S2287" s="12"/>
    </row>
    <row r="2288" spans="1:19" x14ac:dyDescent="0.25">
      <c r="A2288" s="9" t="s">
        <v>1117</v>
      </c>
      <c r="B2288" s="9" t="s">
        <v>291</v>
      </c>
      <c r="C2288" s="4">
        <v>201004469</v>
      </c>
      <c r="D2288" s="4" t="s">
        <v>1212</v>
      </c>
      <c r="E2288" s="4" t="str">
        <f>"089562010"</f>
        <v>089562010</v>
      </c>
      <c r="F2288" s="10">
        <v>40367</v>
      </c>
      <c r="G2288" s="11">
        <v>350</v>
      </c>
      <c r="H2288" s="11">
        <v>0</v>
      </c>
      <c r="I2288" s="4"/>
      <c r="J2288" s="4"/>
      <c r="K2288" s="11">
        <v>0</v>
      </c>
      <c r="L2288" s="4"/>
      <c r="M2288" s="4"/>
      <c r="N2288" s="11">
        <v>350</v>
      </c>
      <c r="O2288" s="4" t="s">
        <v>56</v>
      </c>
      <c r="P2288" s="4" t="s">
        <v>57</v>
      </c>
      <c r="Q2288" s="11">
        <v>0</v>
      </c>
      <c r="R2288" s="4"/>
      <c r="S2288" s="12"/>
    </row>
    <row r="2289" spans="1:19" x14ac:dyDescent="0.25">
      <c r="A2289" s="9" t="s">
        <v>1117</v>
      </c>
      <c r="B2289" s="9" t="s">
        <v>291</v>
      </c>
      <c r="C2289" s="4">
        <v>201004472</v>
      </c>
      <c r="D2289" s="4" t="s">
        <v>1197</v>
      </c>
      <c r="E2289" s="4" t="str">
        <f>"089782010"</f>
        <v>089782010</v>
      </c>
      <c r="F2289" s="10">
        <v>40367</v>
      </c>
      <c r="G2289" s="11">
        <v>350</v>
      </c>
      <c r="H2289" s="11">
        <v>0</v>
      </c>
      <c r="I2289" s="4"/>
      <c r="J2289" s="4"/>
      <c r="K2289" s="11">
        <v>0</v>
      </c>
      <c r="L2289" s="4"/>
      <c r="M2289" s="4"/>
      <c r="N2289" s="11">
        <v>350</v>
      </c>
      <c r="O2289" s="4" t="s">
        <v>56</v>
      </c>
      <c r="P2289" s="4" t="s">
        <v>57</v>
      </c>
      <c r="Q2289" s="11">
        <v>0</v>
      </c>
      <c r="R2289" s="4"/>
      <c r="S2289" s="12"/>
    </row>
    <row r="2290" spans="1:19" x14ac:dyDescent="0.25">
      <c r="A2290" s="9" t="s">
        <v>1117</v>
      </c>
      <c r="B2290" s="9" t="s">
        <v>291</v>
      </c>
      <c r="C2290" s="4">
        <v>201004477</v>
      </c>
      <c r="D2290" s="4" t="s">
        <v>1189</v>
      </c>
      <c r="E2290" s="4" t="str">
        <f>"090102010"</f>
        <v>090102010</v>
      </c>
      <c r="F2290" s="10">
        <v>40367</v>
      </c>
      <c r="G2290" s="11">
        <v>71</v>
      </c>
      <c r="H2290" s="11">
        <v>0</v>
      </c>
      <c r="I2290" s="4"/>
      <c r="J2290" s="4"/>
      <c r="K2290" s="11">
        <v>0</v>
      </c>
      <c r="L2290" s="4"/>
      <c r="M2290" s="4"/>
      <c r="N2290" s="11">
        <v>71</v>
      </c>
      <c r="O2290" s="4" t="s">
        <v>56</v>
      </c>
      <c r="P2290" s="4" t="s">
        <v>57</v>
      </c>
      <c r="Q2290" s="11">
        <v>0</v>
      </c>
      <c r="R2290" s="4"/>
      <c r="S2290" s="12"/>
    </row>
    <row r="2291" spans="1:19" x14ac:dyDescent="0.25">
      <c r="A2291" s="9" t="s">
        <v>1117</v>
      </c>
      <c r="B2291" s="9" t="s">
        <v>291</v>
      </c>
      <c r="C2291" s="4">
        <v>201004495</v>
      </c>
      <c r="D2291" s="4" t="s">
        <v>1594</v>
      </c>
      <c r="E2291" s="4" t="str">
        <f>"090322010"</f>
        <v>090322010</v>
      </c>
      <c r="F2291" s="10">
        <v>40367</v>
      </c>
      <c r="G2291" s="11">
        <v>350</v>
      </c>
      <c r="H2291" s="11">
        <v>0</v>
      </c>
      <c r="I2291" s="4"/>
      <c r="J2291" s="4"/>
      <c r="K2291" s="11">
        <v>0</v>
      </c>
      <c r="L2291" s="4"/>
      <c r="M2291" s="4"/>
      <c r="N2291" s="11">
        <v>350</v>
      </c>
      <c r="O2291" s="4" t="s">
        <v>56</v>
      </c>
      <c r="P2291" s="4" t="s">
        <v>57</v>
      </c>
      <c r="Q2291" s="11">
        <v>0</v>
      </c>
      <c r="R2291" s="4"/>
      <c r="S2291" s="12"/>
    </row>
    <row r="2292" spans="1:19" x14ac:dyDescent="0.25">
      <c r="A2292" s="9" t="s">
        <v>1117</v>
      </c>
      <c r="B2292" s="9" t="s">
        <v>291</v>
      </c>
      <c r="C2292" s="4">
        <v>201004496</v>
      </c>
      <c r="D2292" s="4" t="s">
        <v>1242</v>
      </c>
      <c r="E2292" s="4" t="str">
        <f>"090062010"</f>
        <v>090062010</v>
      </c>
      <c r="F2292" s="10">
        <v>40367</v>
      </c>
      <c r="G2292" s="11">
        <v>350</v>
      </c>
      <c r="H2292" s="11">
        <v>0</v>
      </c>
      <c r="I2292" s="4"/>
      <c r="J2292" s="4"/>
      <c r="K2292" s="11">
        <v>0</v>
      </c>
      <c r="L2292" s="4"/>
      <c r="M2292" s="4"/>
      <c r="N2292" s="11">
        <v>350</v>
      </c>
      <c r="O2292" s="4" t="s">
        <v>56</v>
      </c>
      <c r="P2292" s="4" t="s">
        <v>57</v>
      </c>
      <c r="Q2292" s="11">
        <v>0</v>
      </c>
      <c r="R2292" s="4"/>
      <c r="S2292" s="12"/>
    </row>
    <row r="2293" spans="1:19" x14ac:dyDescent="0.25">
      <c r="A2293" s="9" t="s">
        <v>1117</v>
      </c>
      <c r="B2293" s="9" t="s">
        <v>291</v>
      </c>
      <c r="C2293" s="4">
        <v>201004502</v>
      </c>
      <c r="D2293" s="4" t="s">
        <v>1595</v>
      </c>
      <c r="E2293" s="4" t="str">
        <f>"089882010"</f>
        <v>089882010</v>
      </c>
      <c r="F2293" s="10">
        <v>40367</v>
      </c>
      <c r="G2293" s="11">
        <v>350</v>
      </c>
      <c r="H2293" s="11">
        <v>0</v>
      </c>
      <c r="I2293" s="4"/>
      <c r="J2293" s="4"/>
      <c r="K2293" s="11">
        <v>0</v>
      </c>
      <c r="L2293" s="4"/>
      <c r="M2293" s="4"/>
      <c r="N2293" s="11">
        <v>350</v>
      </c>
      <c r="O2293" s="4" t="s">
        <v>56</v>
      </c>
      <c r="P2293" s="4" t="s">
        <v>57</v>
      </c>
      <c r="Q2293" s="11">
        <v>0</v>
      </c>
      <c r="R2293" s="4"/>
      <c r="S2293" s="12"/>
    </row>
    <row r="2294" spans="1:19" x14ac:dyDescent="0.25">
      <c r="A2294" s="9" t="s">
        <v>1117</v>
      </c>
      <c r="B2294" s="9" t="s">
        <v>291</v>
      </c>
      <c r="C2294" s="4">
        <v>201004503</v>
      </c>
      <c r="D2294" s="4" t="s">
        <v>1596</v>
      </c>
      <c r="E2294" s="4" t="str">
        <f>"090482010"</f>
        <v>090482010</v>
      </c>
      <c r="F2294" s="10">
        <v>40367</v>
      </c>
      <c r="G2294" s="11">
        <v>350</v>
      </c>
      <c r="H2294" s="11">
        <v>0</v>
      </c>
      <c r="I2294" s="4"/>
      <c r="J2294" s="4"/>
      <c r="K2294" s="11">
        <v>0</v>
      </c>
      <c r="L2294" s="4"/>
      <c r="M2294" s="4"/>
      <c r="N2294" s="11">
        <v>350</v>
      </c>
      <c r="O2294" s="4" t="s">
        <v>56</v>
      </c>
      <c r="P2294" s="4" t="s">
        <v>57</v>
      </c>
      <c r="Q2294" s="11">
        <v>0</v>
      </c>
      <c r="R2294" s="4"/>
      <c r="S2294" s="12"/>
    </row>
    <row r="2295" spans="1:19" x14ac:dyDescent="0.25">
      <c r="A2295" s="9" t="s">
        <v>1117</v>
      </c>
      <c r="B2295" s="9" t="s">
        <v>291</v>
      </c>
      <c r="C2295" s="4">
        <v>201004506</v>
      </c>
      <c r="D2295" s="4" t="s">
        <v>1597</v>
      </c>
      <c r="E2295" s="4" t="str">
        <f>"092222010"</f>
        <v>092222010</v>
      </c>
      <c r="F2295" s="10">
        <v>40373</v>
      </c>
      <c r="G2295" s="11">
        <v>350</v>
      </c>
      <c r="H2295" s="11">
        <v>0</v>
      </c>
      <c r="I2295" s="4"/>
      <c r="J2295" s="4"/>
      <c r="K2295" s="11">
        <v>0</v>
      </c>
      <c r="L2295" s="4"/>
      <c r="M2295" s="4"/>
      <c r="N2295" s="11">
        <v>350</v>
      </c>
      <c r="O2295" s="4" t="s">
        <v>56</v>
      </c>
      <c r="P2295" s="4" t="s">
        <v>57</v>
      </c>
      <c r="Q2295" s="11">
        <v>0</v>
      </c>
      <c r="R2295" s="4"/>
      <c r="S2295" s="12"/>
    </row>
    <row r="2296" spans="1:19" x14ac:dyDescent="0.25">
      <c r="A2296" s="9" t="s">
        <v>1117</v>
      </c>
      <c r="B2296" s="9" t="s">
        <v>291</v>
      </c>
      <c r="C2296" s="4">
        <v>201004507</v>
      </c>
      <c r="D2296" s="4" t="s">
        <v>1598</v>
      </c>
      <c r="E2296" s="4" t="str">
        <f>"090022010"</f>
        <v>090022010</v>
      </c>
      <c r="F2296" s="10">
        <v>40367</v>
      </c>
      <c r="G2296" s="11">
        <v>350</v>
      </c>
      <c r="H2296" s="11">
        <v>0</v>
      </c>
      <c r="I2296" s="4"/>
      <c r="J2296" s="4"/>
      <c r="K2296" s="11">
        <v>0</v>
      </c>
      <c r="L2296" s="4"/>
      <c r="M2296" s="4"/>
      <c r="N2296" s="11">
        <v>350</v>
      </c>
      <c r="O2296" s="4" t="s">
        <v>56</v>
      </c>
      <c r="P2296" s="4" t="s">
        <v>57</v>
      </c>
      <c r="Q2296" s="11">
        <v>0</v>
      </c>
      <c r="R2296" s="4"/>
      <c r="S2296" s="12"/>
    </row>
    <row r="2297" spans="1:19" x14ac:dyDescent="0.25">
      <c r="A2297" s="9" t="s">
        <v>1117</v>
      </c>
      <c r="B2297" s="9" t="s">
        <v>291</v>
      </c>
      <c r="C2297" s="4">
        <v>201004514</v>
      </c>
      <c r="D2297" s="4" t="s">
        <v>1242</v>
      </c>
      <c r="E2297" s="4" t="str">
        <f>"090342010"</f>
        <v>090342010</v>
      </c>
      <c r="F2297" s="10">
        <v>40367</v>
      </c>
      <c r="G2297" s="11">
        <v>350</v>
      </c>
      <c r="H2297" s="11">
        <v>0</v>
      </c>
      <c r="I2297" s="4"/>
      <c r="J2297" s="4"/>
      <c r="K2297" s="11">
        <v>0</v>
      </c>
      <c r="L2297" s="4"/>
      <c r="M2297" s="4"/>
      <c r="N2297" s="11">
        <v>350</v>
      </c>
      <c r="O2297" s="4" t="s">
        <v>56</v>
      </c>
      <c r="P2297" s="4" t="s">
        <v>57</v>
      </c>
      <c r="Q2297" s="11">
        <v>0</v>
      </c>
      <c r="R2297" s="4"/>
      <c r="S2297" s="12"/>
    </row>
    <row r="2298" spans="1:19" x14ac:dyDescent="0.25">
      <c r="A2298" s="9" t="s">
        <v>1117</v>
      </c>
      <c r="B2298" s="9" t="s">
        <v>291</v>
      </c>
      <c r="C2298" s="4">
        <v>201004518</v>
      </c>
      <c r="D2298" s="4" t="s">
        <v>1599</v>
      </c>
      <c r="E2298" s="4" t="str">
        <f>"090202010"</f>
        <v>090202010</v>
      </c>
      <c r="F2298" s="10">
        <v>40367</v>
      </c>
      <c r="G2298" s="11">
        <v>350</v>
      </c>
      <c r="H2298" s="11">
        <v>0</v>
      </c>
      <c r="I2298" s="4"/>
      <c r="J2298" s="4"/>
      <c r="K2298" s="11">
        <v>0</v>
      </c>
      <c r="L2298" s="4"/>
      <c r="M2298" s="4"/>
      <c r="N2298" s="11">
        <v>350</v>
      </c>
      <c r="O2298" s="4" t="s">
        <v>56</v>
      </c>
      <c r="P2298" s="4" t="s">
        <v>57</v>
      </c>
      <c r="Q2298" s="11">
        <v>0</v>
      </c>
      <c r="R2298" s="4"/>
      <c r="S2298" s="12"/>
    </row>
    <row r="2299" spans="1:19" x14ac:dyDescent="0.25">
      <c r="A2299" s="9" t="s">
        <v>1117</v>
      </c>
      <c r="B2299" s="9" t="s">
        <v>291</v>
      </c>
      <c r="C2299" s="4">
        <v>201004534</v>
      </c>
      <c r="D2299" s="4"/>
      <c r="E2299" s="4" t="str">
        <f>"093542010"</f>
        <v>093542010</v>
      </c>
      <c r="F2299" s="10">
        <v>40375</v>
      </c>
      <c r="G2299" s="11">
        <v>350</v>
      </c>
      <c r="H2299" s="11">
        <v>0</v>
      </c>
      <c r="I2299" s="4"/>
      <c r="J2299" s="4"/>
      <c r="K2299" s="11">
        <v>0</v>
      </c>
      <c r="L2299" s="4"/>
      <c r="M2299" s="4"/>
      <c r="N2299" s="11">
        <v>350</v>
      </c>
      <c r="O2299" s="4" t="s">
        <v>56</v>
      </c>
      <c r="P2299" s="4" t="s">
        <v>57</v>
      </c>
      <c r="Q2299" s="11">
        <v>0</v>
      </c>
      <c r="R2299" s="4"/>
      <c r="S2299" s="12"/>
    </row>
    <row r="2300" spans="1:19" x14ac:dyDescent="0.25">
      <c r="A2300" s="9" t="s">
        <v>1117</v>
      </c>
      <c r="B2300" s="9" t="s">
        <v>291</v>
      </c>
      <c r="C2300" s="4">
        <v>201004535</v>
      </c>
      <c r="D2300" s="4" t="s">
        <v>1145</v>
      </c>
      <c r="E2300" s="4" t="str">
        <f>"090142010"</f>
        <v>090142010</v>
      </c>
      <c r="F2300" s="10">
        <v>40367</v>
      </c>
      <c r="G2300" s="11">
        <v>350</v>
      </c>
      <c r="H2300" s="11">
        <v>0</v>
      </c>
      <c r="I2300" s="4"/>
      <c r="J2300" s="4"/>
      <c r="K2300" s="11">
        <v>0</v>
      </c>
      <c r="L2300" s="4"/>
      <c r="M2300" s="4"/>
      <c r="N2300" s="11">
        <v>350</v>
      </c>
      <c r="O2300" s="4" t="s">
        <v>56</v>
      </c>
      <c r="P2300" s="4" t="s">
        <v>57</v>
      </c>
      <c r="Q2300" s="11">
        <v>0</v>
      </c>
      <c r="R2300" s="4"/>
      <c r="S2300" s="12"/>
    </row>
    <row r="2301" spans="1:19" x14ac:dyDescent="0.25">
      <c r="A2301" s="9" t="s">
        <v>1117</v>
      </c>
      <c r="B2301" s="9" t="s">
        <v>291</v>
      </c>
      <c r="C2301" s="4">
        <v>201004537</v>
      </c>
      <c r="D2301" s="4" t="s">
        <v>1242</v>
      </c>
      <c r="E2301" s="4" t="str">
        <f>"090582010"</f>
        <v>090582010</v>
      </c>
      <c r="F2301" s="10">
        <v>40367</v>
      </c>
      <c r="G2301" s="11">
        <v>350</v>
      </c>
      <c r="H2301" s="11">
        <v>0</v>
      </c>
      <c r="I2301" s="4"/>
      <c r="J2301" s="4"/>
      <c r="K2301" s="11">
        <v>0</v>
      </c>
      <c r="L2301" s="4"/>
      <c r="M2301" s="4"/>
      <c r="N2301" s="11">
        <v>350</v>
      </c>
      <c r="O2301" s="4" t="s">
        <v>56</v>
      </c>
      <c r="P2301" s="4" t="s">
        <v>57</v>
      </c>
      <c r="Q2301" s="11">
        <v>0</v>
      </c>
      <c r="R2301" s="4"/>
      <c r="S2301" s="12"/>
    </row>
    <row r="2302" spans="1:19" x14ac:dyDescent="0.25">
      <c r="A2302" s="9" t="s">
        <v>1117</v>
      </c>
      <c r="B2302" s="9" t="s">
        <v>291</v>
      </c>
      <c r="C2302" s="4">
        <v>201004538</v>
      </c>
      <c r="D2302" s="4" t="s">
        <v>1600</v>
      </c>
      <c r="E2302" s="4" t="str">
        <f>"098522010"</f>
        <v>098522010</v>
      </c>
      <c r="F2302" s="10">
        <v>40394</v>
      </c>
      <c r="G2302" s="11">
        <v>350</v>
      </c>
      <c r="H2302" s="11">
        <v>0</v>
      </c>
      <c r="I2302" s="4"/>
      <c r="J2302" s="4"/>
      <c r="K2302" s="11">
        <v>0</v>
      </c>
      <c r="L2302" s="4"/>
      <c r="M2302" s="4"/>
      <c r="N2302" s="11">
        <v>350</v>
      </c>
      <c r="O2302" s="4" t="s">
        <v>56</v>
      </c>
      <c r="P2302" s="4" t="s">
        <v>57</v>
      </c>
      <c r="Q2302" s="11">
        <v>0</v>
      </c>
      <c r="R2302" s="4"/>
      <c r="S2302" s="12"/>
    </row>
    <row r="2303" spans="1:19" x14ac:dyDescent="0.25">
      <c r="A2303" s="9" t="s">
        <v>1117</v>
      </c>
      <c r="B2303" s="9" t="s">
        <v>291</v>
      </c>
      <c r="C2303" s="4">
        <v>201004540</v>
      </c>
      <c r="D2303" s="4" t="s">
        <v>1189</v>
      </c>
      <c r="E2303" s="4" t="str">
        <f>"090822010"</f>
        <v>090822010</v>
      </c>
      <c r="F2303" s="10">
        <v>40368</v>
      </c>
      <c r="G2303" s="11">
        <v>350</v>
      </c>
      <c r="H2303" s="11">
        <v>0</v>
      </c>
      <c r="I2303" s="4"/>
      <c r="J2303" s="4"/>
      <c r="K2303" s="11">
        <v>0</v>
      </c>
      <c r="L2303" s="4"/>
      <c r="M2303" s="4"/>
      <c r="N2303" s="11">
        <v>350</v>
      </c>
      <c r="O2303" s="4" t="s">
        <v>56</v>
      </c>
      <c r="P2303" s="4" t="s">
        <v>57</v>
      </c>
      <c r="Q2303" s="11">
        <v>0</v>
      </c>
      <c r="R2303" s="4"/>
      <c r="S2303" s="12"/>
    </row>
    <row r="2304" spans="1:19" x14ac:dyDescent="0.25">
      <c r="A2304" s="9" t="s">
        <v>1117</v>
      </c>
      <c r="B2304" s="9" t="s">
        <v>291</v>
      </c>
      <c r="C2304" s="4">
        <v>201004552</v>
      </c>
      <c r="D2304" s="4" t="s">
        <v>1601</v>
      </c>
      <c r="E2304" s="4" t="str">
        <f>"090562010"</f>
        <v>090562010</v>
      </c>
      <c r="F2304" s="10">
        <v>40367</v>
      </c>
      <c r="G2304" s="11">
        <v>350</v>
      </c>
      <c r="H2304" s="11">
        <v>0</v>
      </c>
      <c r="I2304" s="4"/>
      <c r="J2304" s="4"/>
      <c r="K2304" s="11">
        <v>0</v>
      </c>
      <c r="L2304" s="4"/>
      <c r="M2304" s="4"/>
      <c r="N2304" s="11">
        <v>350</v>
      </c>
      <c r="O2304" s="4" t="s">
        <v>56</v>
      </c>
      <c r="P2304" s="4" t="s">
        <v>57</v>
      </c>
      <c r="Q2304" s="11">
        <v>0</v>
      </c>
      <c r="R2304" s="4"/>
      <c r="S2304" s="12"/>
    </row>
    <row r="2305" spans="1:19" x14ac:dyDescent="0.25">
      <c r="A2305" s="9" t="s">
        <v>1117</v>
      </c>
      <c r="B2305" s="9" t="s">
        <v>291</v>
      </c>
      <c r="C2305" s="4">
        <v>201004553</v>
      </c>
      <c r="D2305" s="4" t="s">
        <v>1205</v>
      </c>
      <c r="E2305" s="4" t="str">
        <f>"090622010"</f>
        <v>090622010</v>
      </c>
      <c r="F2305" s="10">
        <v>40367</v>
      </c>
      <c r="G2305" s="11">
        <v>350</v>
      </c>
      <c r="H2305" s="11">
        <v>0</v>
      </c>
      <c r="I2305" s="4"/>
      <c r="J2305" s="4"/>
      <c r="K2305" s="11">
        <v>0</v>
      </c>
      <c r="L2305" s="4"/>
      <c r="M2305" s="4"/>
      <c r="N2305" s="11">
        <v>350</v>
      </c>
      <c r="O2305" s="4" t="s">
        <v>56</v>
      </c>
      <c r="P2305" s="4" t="s">
        <v>57</v>
      </c>
      <c r="Q2305" s="11">
        <v>0</v>
      </c>
      <c r="R2305" s="4"/>
      <c r="S2305" s="12"/>
    </row>
    <row r="2306" spans="1:19" x14ac:dyDescent="0.25">
      <c r="A2306" s="9" t="s">
        <v>1117</v>
      </c>
      <c r="B2306" s="9" t="s">
        <v>291</v>
      </c>
      <c r="C2306" s="4">
        <v>201004565</v>
      </c>
      <c r="D2306" s="4" t="s">
        <v>1602</v>
      </c>
      <c r="E2306" s="4" t="str">
        <f>"090862010"</f>
        <v>090862010</v>
      </c>
      <c r="F2306" s="10">
        <v>40367</v>
      </c>
      <c r="G2306" s="11">
        <v>350</v>
      </c>
      <c r="H2306" s="11">
        <v>0</v>
      </c>
      <c r="I2306" s="4"/>
      <c r="J2306" s="4"/>
      <c r="K2306" s="11">
        <v>0</v>
      </c>
      <c r="L2306" s="4"/>
      <c r="M2306" s="4"/>
      <c r="N2306" s="11">
        <v>350</v>
      </c>
      <c r="O2306" s="4" t="s">
        <v>56</v>
      </c>
      <c r="P2306" s="4" t="s">
        <v>57</v>
      </c>
      <c r="Q2306" s="11">
        <v>0</v>
      </c>
      <c r="R2306" s="4"/>
      <c r="S2306" s="12"/>
    </row>
    <row r="2307" spans="1:19" x14ac:dyDescent="0.25">
      <c r="A2307" s="9" t="s">
        <v>1117</v>
      </c>
      <c r="B2307" s="9" t="s">
        <v>291</v>
      </c>
      <c r="C2307" s="4">
        <v>201004571</v>
      </c>
      <c r="D2307" s="4" t="s">
        <v>1603</v>
      </c>
      <c r="E2307" s="4" t="str">
        <f>"091362010"</f>
        <v>091362010</v>
      </c>
      <c r="F2307" s="10">
        <v>40368</v>
      </c>
      <c r="G2307" s="11">
        <v>350</v>
      </c>
      <c r="H2307" s="11">
        <v>0</v>
      </c>
      <c r="I2307" s="4"/>
      <c r="J2307" s="4"/>
      <c r="K2307" s="11">
        <v>0</v>
      </c>
      <c r="L2307" s="4"/>
      <c r="M2307" s="4"/>
      <c r="N2307" s="11">
        <v>350</v>
      </c>
      <c r="O2307" s="4" t="s">
        <v>56</v>
      </c>
      <c r="P2307" s="4" t="s">
        <v>57</v>
      </c>
      <c r="Q2307" s="11">
        <v>0</v>
      </c>
      <c r="R2307" s="4"/>
      <c r="S2307" s="12"/>
    </row>
    <row r="2308" spans="1:19" x14ac:dyDescent="0.25">
      <c r="A2308" s="9" t="s">
        <v>1117</v>
      </c>
      <c r="B2308" s="9" t="s">
        <v>291</v>
      </c>
      <c r="C2308" s="4">
        <v>201004572</v>
      </c>
      <c r="D2308" s="4" t="s">
        <v>1604</v>
      </c>
      <c r="E2308" s="4" t="str">
        <f>"090802010"</f>
        <v>090802010</v>
      </c>
      <c r="F2308" s="10">
        <v>40367</v>
      </c>
      <c r="G2308" s="11">
        <v>350</v>
      </c>
      <c r="H2308" s="11">
        <v>0</v>
      </c>
      <c r="I2308" s="4"/>
      <c r="J2308" s="4"/>
      <c r="K2308" s="11">
        <v>0</v>
      </c>
      <c r="L2308" s="4"/>
      <c r="M2308" s="4"/>
      <c r="N2308" s="11">
        <v>350</v>
      </c>
      <c r="O2308" s="4" t="s">
        <v>56</v>
      </c>
      <c r="P2308" s="4" t="s">
        <v>57</v>
      </c>
      <c r="Q2308" s="11">
        <v>0</v>
      </c>
      <c r="R2308" s="4"/>
      <c r="S2308" s="12"/>
    </row>
    <row r="2309" spans="1:19" x14ac:dyDescent="0.25">
      <c r="A2309" s="9" t="s">
        <v>1117</v>
      </c>
      <c r="B2309" s="9" t="s">
        <v>291</v>
      </c>
      <c r="C2309" s="4">
        <v>201004573</v>
      </c>
      <c r="D2309" s="4" t="s">
        <v>1605</v>
      </c>
      <c r="E2309" s="4" t="str">
        <f>"090842010"</f>
        <v>090842010</v>
      </c>
      <c r="F2309" s="10">
        <v>40367</v>
      </c>
      <c r="G2309" s="11">
        <v>805</v>
      </c>
      <c r="H2309" s="11">
        <v>0</v>
      </c>
      <c r="I2309" s="4"/>
      <c r="J2309" s="4"/>
      <c r="K2309" s="11">
        <v>0</v>
      </c>
      <c r="L2309" s="4"/>
      <c r="M2309" s="4"/>
      <c r="N2309" s="11">
        <v>805</v>
      </c>
      <c r="O2309" s="4" t="s">
        <v>56</v>
      </c>
      <c r="P2309" s="4" t="s">
        <v>57</v>
      </c>
      <c r="Q2309" s="11">
        <v>0</v>
      </c>
      <c r="R2309" s="4"/>
      <c r="S2309" s="12"/>
    </row>
    <row r="2310" spans="1:19" x14ac:dyDescent="0.25">
      <c r="A2310" s="9" t="s">
        <v>1117</v>
      </c>
      <c r="B2310" s="9" t="s">
        <v>291</v>
      </c>
      <c r="C2310" s="4">
        <v>201004575</v>
      </c>
      <c r="D2310" s="4" t="s">
        <v>1606</v>
      </c>
      <c r="E2310" s="4" t="str">
        <f>"091222010"</f>
        <v>091222010</v>
      </c>
      <c r="F2310" s="10">
        <v>40368</v>
      </c>
      <c r="G2310" s="11">
        <v>350</v>
      </c>
      <c r="H2310" s="11">
        <v>0</v>
      </c>
      <c r="I2310" s="4"/>
      <c r="J2310" s="4"/>
      <c r="K2310" s="11">
        <v>0</v>
      </c>
      <c r="L2310" s="4"/>
      <c r="M2310" s="4"/>
      <c r="N2310" s="11">
        <v>350</v>
      </c>
      <c r="O2310" s="4" t="s">
        <v>56</v>
      </c>
      <c r="P2310" s="4" t="s">
        <v>57</v>
      </c>
      <c r="Q2310" s="11">
        <v>0</v>
      </c>
      <c r="R2310" s="4"/>
      <c r="S2310" s="12"/>
    </row>
    <row r="2311" spans="1:19" x14ac:dyDescent="0.25">
      <c r="A2311" s="9" t="s">
        <v>1117</v>
      </c>
      <c r="B2311" s="9" t="s">
        <v>291</v>
      </c>
      <c r="C2311" s="4">
        <v>201004576</v>
      </c>
      <c r="D2311" s="4" t="s">
        <v>1607</v>
      </c>
      <c r="E2311" s="4" t="str">
        <f>"090782010"</f>
        <v>090782010</v>
      </c>
      <c r="F2311" s="10">
        <v>40367</v>
      </c>
      <c r="G2311" s="11">
        <v>350</v>
      </c>
      <c r="H2311" s="11">
        <v>0</v>
      </c>
      <c r="I2311" s="4"/>
      <c r="J2311" s="4"/>
      <c r="K2311" s="11">
        <v>0</v>
      </c>
      <c r="L2311" s="4"/>
      <c r="M2311" s="4"/>
      <c r="N2311" s="11">
        <v>350</v>
      </c>
      <c r="O2311" s="4" t="s">
        <v>56</v>
      </c>
      <c r="P2311" s="4" t="s">
        <v>57</v>
      </c>
      <c r="Q2311" s="11">
        <v>0</v>
      </c>
      <c r="R2311" s="4"/>
      <c r="S2311" s="12"/>
    </row>
    <row r="2312" spans="1:19" x14ac:dyDescent="0.25">
      <c r="A2312" s="9" t="s">
        <v>1117</v>
      </c>
      <c r="B2312" s="9" t="s">
        <v>291</v>
      </c>
      <c r="C2312" s="4">
        <v>201004581</v>
      </c>
      <c r="D2312" s="4" t="s">
        <v>1514</v>
      </c>
      <c r="E2312" s="4" t="str">
        <f>"091342010"</f>
        <v>091342010</v>
      </c>
      <c r="F2312" s="10">
        <v>40368</v>
      </c>
      <c r="G2312" s="11">
        <v>350</v>
      </c>
      <c r="H2312" s="11">
        <v>0</v>
      </c>
      <c r="I2312" s="4"/>
      <c r="J2312" s="4"/>
      <c r="K2312" s="11">
        <v>0</v>
      </c>
      <c r="L2312" s="4"/>
      <c r="M2312" s="4"/>
      <c r="N2312" s="11">
        <v>350</v>
      </c>
      <c r="O2312" s="4" t="s">
        <v>56</v>
      </c>
      <c r="P2312" s="4" t="s">
        <v>57</v>
      </c>
      <c r="Q2312" s="11">
        <v>0</v>
      </c>
      <c r="R2312" s="4"/>
      <c r="S2312" s="12"/>
    </row>
    <row r="2313" spans="1:19" x14ac:dyDescent="0.25">
      <c r="A2313" s="9" t="s">
        <v>1117</v>
      </c>
      <c r="B2313" s="9" t="s">
        <v>291</v>
      </c>
      <c r="C2313" s="4">
        <v>201004599</v>
      </c>
      <c r="D2313" s="4" t="s">
        <v>1608</v>
      </c>
      <c r="E2313" s="4" t="str">
        <f>"091832010"</f>
        <v>091832010</v>
      </c>
      <c r="F2313" s="10">
        <v>40372</v>
      </c>
      <c r="G2313" s="11">
        <v>368.96</v>
      </c>
      <c r="H2313" s="11">
        <v>0</v>
      </c>
      <c r="I2313" s="4"/>
      <c r="J2313" s="4"/>
      <c r="K2313" s="11">
        <v>0</v>
      </c>
      <c r="L2313" s="4"/>
      <c r="M2313" s="4"/>
      <c r="N2313" s="11">
        <v>368.96</v>
      </c>
      <c r="O2313" s="4" t="s">
        <v>56</v>
      </c>
      <c r="P2313" s="4" t="s">
        <v>57</v>
      </c>
      <c r="Q2313" s="11">
        <v>0</v>
      </c>
      <c r="R2313" s="4"/>
      <c r="S2313" s="12"/>
    </row>
    <row r="2314" spans="1:19" x14ac:dyDescent="0.25">
      <c r="A2314" s="9" t="s">
        <v>1117</v>
      </c>
      <c r="B2314" s="9" t="s">
        <v>291</v>
      </c>
      <c r="C2314" s="4">
        <v>201004622</v>
      </c>
      <c r="D2314" s="4" t="s">
        <v>1426</v>
      </c>
      <c r="E2314" s="4" t="str">
        <f>"099392010"</f>
        <v>099392010</v>
      </c>
      <c r="F2314" s="10">
        <v>40396</v>
      </c>
      <c r="G2314" s="11">
        <v>350</v>
      </c>
      <c r="H2314" s="11">
        <v>0</v>
      </c>
      <c r="I2314" s="4"/>
      <c r="J2314" s="4"/>
      <c r="K2314" s="11">
        <v>0</v>
      </c>
      <c r="L2314" s="4"/>
      <c r="M2314" s="4"/>
      <c r="N2314" s="11">
        <v>350</v>
      </c>
      <c r="O2314" s="4" t="s">
        <v>56</v>
      </c>
      <c r="P2314" s="4" t="s">
        <v>57</v>
      </c>
      <c r="Q2314" s="11">
        <v>0</v>
      </c>
      <c r="R2314" s="4"/>
      <c r="S2314" s="12"/>
    </row>
    <row r="2315" spans="1:19" x14ac:dyDescent="0.25">
      <c r="A2315" s="9" t="s">
        <v>1117</v>
      </c>
      <c r="B2315" s="9" t="s">
        <v>291</v>
      </c>
      <c r="C2315" s="4">
        <v>201004629</v>
      </c>
      <c r="D2315" s="4" t="s">
        <v>1609</v>
      </c>
      <c r="E2315" s="4" t="str">
        <f>"093822010"</f>
        <v>093822010</v>
      </c>
      <c r="F2315" s="10">
        <v>40375</v>
      </c>
      <c r="G2315" s="11">
        <v>350</v>
      </c>
      <c r="H2315" s="11">
        <v>0</v>
      </c>
      <c r="I2315" s="4"/>
      <c r="J2315" s="4"/>
      <c r="K2315" s="11">
        <v>0</v>
      </c>
      <c r="L2315" s="4"/>
      <c r="M2315" s="4"/>
      <c r="N2315" s="11">
        <v>350</v>
      </c>
      <c r="O2315" s="4" t="s">
        <v>56</v>
      </c>
      <c r="P2315" s="4" t="s">
        <v>57</v>
      </c>
      <c r="Q2315" s="11">
        <v>0</v>
      </c>
      <c r="R2315" s="4"/>
      <c r="S2315" s="12"/>
    </row>
    <row r="2316" spans="1:19" x14ac:dyDescent="0.25">
      <c r="A2316" s="9" t="s">
        <v>1117</v>
      </c>
      <c r="B2316" s="9" t="s">
        <v>291</v>
      </c>
      <c r="C2316" s="4">
        <v>201004637</v>
      </c>
      <c r="D2316" s="4"/>
      <c r="E2316" s="4" t="str">
        <f>"092302010"</f>
        <v>092302010</v>
      </c>
      <c r="F2316" s="10">
        <v>40373</v>
      </c>
      <c r="G2316" s="11">
        <v>1363.56</v>
      </c>
      <c r="H2316" s="11">
        <v>0</v>
      </c>
      <c r="I2316" s="4"/>
      <c r="J2316" s="4"/>
      <c r="K2316" s="11">
        <v>0</v>
      </c>
      <c r="L2316" s="4"/>
      <c r="M2316" s="4"/>
      <c r="N2316" s="11">
        <v>1363.56</v>
      </c>
      <c r="O2316" s="4" t="s">
        <v>56</v>
      </c>
      <c r="P2316" s="4" t="s">
        <v>57</v>
      </c>
      <c r="Q2316" s="11">
        <v>0</v>
      </c>
      <c r="R2316" s="4"/>
      <c r="S2316" s="12"/>
    </row>
    <row r="2317" spans="1:19" x14ac:dyDescent="0.25">
      <c r="A2317" s="9" t="s">
        <v>1117</v>
      </c>
      <c r="B2317" s="9" t="s">
        <v>291</v>
      </c>
      <c r="C2317" s="4">
        <v>201004638</v>
      </c>
      <c r="D2317" s="4" t="s">
        <v>1610</v>
      </c>
      <c r="E2317" s="4" t="str">
        <f>"091922010"</f>
        <v>091922010</v>
      </c>
      <c r="F2317" s="10">
        <v>40372</v>
      </c>
      <c r="G2317" s="11">
        <v>350</v>
      </c>
      <c r="H2317" s="11">
        <v>0</v>
      </c>
      <c r="I2317" s="4"/>
      <c r="J2317" s="4"/>
      <c r="K2317" s="11">
        <v>0</v>
      </c>
      <c r="L2317" s="4"/>
      <c r="M2317" s="4"/>
      <c r="N2317" s="11">
        <v>350</v>
      </c>
      <c r="O2317" s="4" t="s">
        <v>56</v>
      </c>
      <c r="P2317" s="4" t="s">
        <v>57</v>
      </c>
      <c r="Q2317" s="11">
        <v>0</v>
      </c>
      <c r="R2317" s="4"/>
      <c r="S2317" s="12"/>
    </row>
    <row r="2318" spans="1:19" x14ac:dyDescent="0.25">
      <c r="A2318" s="9" t="s">
        <v>1117</v>
      </c>
      <c r="B2318" s="9" t="s">
        <v>291</v>
      </c>
      <c r="C2318" s="4">
        <v>201004641</v>
      </c>
      <c r="D2318" s="4" t="s">
        <v>1514</v>
      </c>
      <c r="E2318" s="4" t="str">
        <f>"092262010"</f>
        <v>092262010</v>
      </c>
      <c r="F2318" s="10">
        <v>40373</v>
      </c>
      <c r="G2318" s="11">
        <v>350</v>
      </c>
      <c r="H2318" s="11">
        <v>0</v>
      </c>
      <c r="I2318" s="4"/>
      <c r="J2318" s="4"/>
      <c r="K2318" s="11">
        <v>0</v>
      </c>
      <c r="L2318" s="4"/>
      <c r="M2318" s="4"/>
      <c r="N2318" s="11">
        <v>350</v>
      </c>
      <c r="O2318" s="4" t="s">
        <v>56</v>
      </c>
      <c r="P2318" s="4" t="s">
        <v>57</v>
      </c>
      <c r="Q2318" s="11">
        <v>0</v>
      </c>
      <c r="R2318" s="4"/>
      <c r="S2318" s="12"/>
    </row>
    <row r="2319" spans="1:19" x14ac:dyDescent="0.25">
      <c r="A2319" s="9" t="s">
        <v>1117</v>
      </c>
      <c r="B2319" s="9" t="s">
        <v>291</v>
      </c>
      <c r="C2319" s="4">
        <v>201004657</v>
      </c>
      <c r="D2319" s="4" t="s">
        <v>1512</v>
      </c>
      <c r="E2319" s="4" t="str">
        <f>"093022010"</f>
        <v>093022010</v>
      </c>
      <c r="F2319" s="10">
        <v>40375</v>
      </c>
      <c r="G2319" s="11">
        <v>367.13</v>
      </c>
      <c r="H2319" s="11">
        <v>0</v>
      </c>
      <c r="I2319" s="4"/>
      <c r="J2319" s="4"/>
      <c r="K2319" s="11">
        <v>0</v>
      </c>
      <c r="L2319" s="4"/>
      <c r="M2319" s="4"/>
      <c r="N2319" s="11">
        <v>367.13</v>
      </c>
      <c r="O2319" s="4" t="s">
        <v>56</v>
      </c>
      <c r="P2319" s="4" t="s">
        <v>57</v>
      </c>
      <c r="Q2319" s="11">
        <v>0</v>
      </c>
      <c r="R2319" s="4"/>
      <c r="S2319" s="12"/>
    </row>
    <row r="2320" spans="1:19" x14ac:dyDescent="0.25">
      <c r="A2320" s="9" t="s">
        <v>1117</v>
      </c>
      <c r="B2320" s="9" t="s">
        <v>291</v>
      </c>
      <c r="C2320" s="4">
        <v>201004658</v>
      </c>
      <c r="D2320" s="4" t="s">
        <v>1369</v>
      </c>
      <c r="E2320" s="4" t="str">
        <f>"092642010"</f>
        <v>092642010</v>
      </c>
      <c r="F2320" s="10">
        <v>40373</v>
      </c>
      <c r="G2320" s="11">
        <v>357</v>
      </c>
      <c r="H2320" s="11">
        <v>0</v>
      </c>
      <c r="I2320" s="4"/>
      <c r="J2320" s="4"/>
      <c r="K2320" s="11">
        <v>0</v>
      </c>
      <c r="L2320" s="4"/>
      <c r="M2320" s="4"/>
      <c r="N2320" s="11">
        <v>357</v>
      </c>
      <c r="O2320" s="4" t="s">
        <v>56</v>
      </c>
      <c r="P2320" s="4" t="s">
        <v>57</v>
      </c>
      <c r="Q2320" s="11">
        <v>0</v>
      </c>
      <c r="R2320" s="4"/>
      <c r="S2320" s="12"/>
    </row>
    <row r="2321" spans="1:19" x14ac:dyDescent="0.25">
      <c r="A2321" s="9" t="s">
        <v>1117</v>
      </c>
      <c r="B2321" s="9" t="s">
        <v>291</v>
      </c>
      <c r="C2321" s="4">
        <v>201004659</v>
      </c>
      <c r="D2321" s="4" t="s">
        <v>1495</v>
      </c>
      <c r="E2321" s="4" t="str">
        <f>"092622010"</f>
        <v>092622010</v>
      </c>
      <c r="F2321" s="10">
        <v>40373</v>
      </c>
      <c r="G2321" s="11">
        <v>350</v>
      </c>
      <c r="H2321" s="11">
        <v>0</v>
      </c>
      <c r="I2321" s="4"/>
      <c r="J2321" s="4"/>
      <c r="K2321" s="11">
        <v>0</v>
      </c>
      <c r="L2321" s="4"/>
      <c r="M2321" s="4"/>
      <c r="N2321" s="11">
        <v>350</v>
      </c>
      <c r="O2321" s="4" t="s">
        <v>56</v>
      </c>
      <c r="P2321" s="4" t="s">
        <v>57</v>
      </c>
      <c r="Q2321" s="11">
        <v>0</v>
      </c>
      <c r="R2321" s="4"/>
      <c r="S2321" s="12"/>
    </row>
    <row r="2322" spans="1:19" x14ac:dyDescent="0.25">
      <c r="A2322" s="9" t="s">
        <v>1117</v>
      </c>
      <c r="B2322" s="9" t="s">
        <v>291</v>
      </c>
      <c r="C2322" s="4">
        <v>201004664</v>
      </c>
      <c r="D2322" s="4" t="s">
        <v>2534</v>
      </c>
      <c r="E2322" s="4" t="str">
        <f>"093142010"</f>
        <v>093142010</v>
      </c>
      <c r="F2322" s="10">
        <v>40375</v>
      </c>
      <c r="G2322" s="11">
        <v>109.34</v>
      </c>
      <c r="H2322" s="11">
        <v>0</v>
      </c>
      <c r="I2322" s="4"/>
      <c r="J2322" s="4"/>
      <c r="K2322" s="11">
        <v>109.34</v>
      </c>
      <c r="L2322" s="4" t="s">
        <v>56</v>
      </c>
      <c r="M2322" s="4" t="s">
        <v>57</v>
      </c>
      <c r="N2322" s="11">
        <v>0</v>
      </c>
      <c r="O2322" s="4"/>
      <c r="P2322" s="4"/>
      <c r="Q2322" s="11">
        <v>0</v>
      </c>
      <c r="R2322" s="4"/>
      <c r="S2322" s="12"/>
    </row>
    <row r="2323" spans="1:19" x14ac:dyDescent="0.25">
      <c r="A2323" s="9" t="s">
        <v>1117</v>
      </c>
      <c r="B2323" s="9" t="s">
        <v>291</v>
      </c>
      <c r="C2323" s="4">
        <v>201004684</v>
      </c>
      <c r="D2323" s="4" t="s">
        <v>1367</v>
      </c>
      <c r="E2323" s="4" t="str">
        <f>"094522010"</f>
        <v>094522010</v>
      </c>
      <c r="F2323" s="10">
        <v>40380</v>
      </c>
      <c r="G2323" s="11">
        <v>380</v>
      </c>
      <c r="H2323" s="11">
        <v>0</v>
      </c>
      <c r="I2323" s="4"/>
      <c r="J2323" s="4"/>
      <c r="K2323" s="11">
        <v>0</v>
      </c>
      <c r="L2323" s="4"/>
      <c r="M2323" s="4"/>
      <c r="N2323" s="11">
        <v>380</v>
      </c>
      <c r="O2323" s="4" t="s">
        <v>56</v>
      </c>
      <c r="P2323" s="4" t="s">
        <v>57</v>
      </c>
      <c r="Q2323" s="11">
        <v>0</v>
      </c>
      <c r="R2323" s="4"/>
      <c r="S2323" s="12"/>
    </row>
    <row r="2324" spans="1:19" x14ac:dyDescent="0.25">
      <c r="A2324" s="9" t="s">
        <v>1117</v>
      </c>
      <c r="B2324" s="9" t="s">
        <v>291</v>
      </c>
      <c r="C2324" s="4">
        <v>201004693</v>
      </c>
      <c r="D2324" s="4" t="s">
        <v>2534</v>
      </c>
      <c r="E2324" s="4" t="str">
        <f>"108412010"</f>
        <v>108412010</v>
      </c>
      <c r="F2324" s="10">
        <v>40424</v>
      </c>
      <c r="G2324" s="11">
        <v>139.91</v>
      </c>
      <c r="H2324" s="11">
        <v>0</v>
      </c>
      <c r="I2324" s="4"/>
      <c r="J2324" s="4"/>
      <c r="K2324" s="11">
        <v>139.91</v>
      </c>
      <c r="L2324" s="4" t="s">
        <v>56</v>
      </c>
      <c r="M2324" s="4" t="s">
        <v>57</v>
      </c>
      <c r="N2324" s="11">
        <v>0</v>
      </c>
      <c r="O2324" s="4"/>
      <c r="P2324" s="4"/>
      <c r="Q2324" s="11">
        <v>0</v>
      </c>
      <c r="R2324" s="4"/>
      <c r="S2324" s="12"/>
    </row>
    <row r="2325" spans="1:19" x14ac:dyDescent="0.25">
      <c r="A2325" s="9" t="s">
        <v>1117</v>
      </c>
      <c r="B2325" s="9" t="s">
        <v>291</v>
      </c>
      <c r="C2325" s="4">
        <v>201004711</v>
      </c>
      <c r="D2325" s="4" t="s">
        <v>1478</v>
      </c>
      <c r="E2325" s="4" t="str">
        <f>"093882010"</f>
        <v>093882010</v>
      </c>
      <c r="F2325" s="10">
        <v>40375</v>
      </c>
      <c r="G2325" s="11">
        <v>357</v>
      </c>
      <c r="H2325" s="11">
        <v>0</v>
      </c>
      <c r="I2325" s="4"/>
      <c r="J2325" s="4"/>
      <c r="K2325" s="11">
        <v>0</v>
      </c>
      <c r="L2325" s="4"/>
      <c r="M2325" s="4"/>
      <c r="N2325" s="11">
        <v>357</v>
      </c>
      <c r="O2325" s="4" t="s">
        <v>56</v>
      </c>
      <c r="P2325" s="4" t="s">
        <v>57</v>
      </c>
      <c r="Q2325" s="11">
        <v>0</v>
      </c>
      <c r="R2325" s="4"/>
      <c r="S2325" s="12"/>
    </row>
    <row r="2326" spans="1:19" x14ac:dyDescent="0.25">
      <c r="A2326" s="9" t="s">
        <v>1117</v>
      </c>
      <c r="B2326" s="9" t="s">
        <v>291</v>
      </c>
      <c r="C2326" s="4">
        <v>201004713</v>
      </c>
      <c r="D2326" s="4" t="s">
        <v>1197</v>
      </c>
      <c r="E2326" s="4" t="str">
        <f>"094182010"</f>
        <v>094182010</v>
      </c>
      <c r="F2326" s="10">
        <v>40379</v>
      </c>
      <c r="G2326" s="11">
        <v>350</v>
      </c>
      <c r="H2326" s="11">
        <v>0</v>
      </c>
      <c r="I2326" s="4"/>
      <c r="J2326" s="4"/>
      <c r="K2326" s="11">
        <v>0</v>
      </c>
      <c r="L2326" s="4"/>
      <c r="M2326" s="4"/>
      <c r="N2326" s="11">
        <v>350</v>
      </c>
      <c r="O2326" s="4" t="s">
        <v>56</v>
      </c>
      <c r="P2326" s="4" t="s">
        <v>57</v>
      </c>
      <c r="Q2326" s="11">
        <v>0</v>
      </c>
      <c r="R2326" s="4"/>
      <c r="S2326" s="12"/>
    </row>
    <row r="2327" spans="1:19" x14ac:dyDescent="0.25">
      <c r="A2327" s="9" t="s">
        <v>1117</v>
      </c>
      <c r="B2327" s="9" t="s">
        <v>291</v>
      </c>
      <c r="C2327" s="4">
        <v>201004714</v>
      </c>
      <c r="D2327" s="4" t="s">
        <v>1611</v>
      </c>
      <c r="E2327" s="4" t="str">
        <f>"094022010"</f>
        <v>094022010</v>
      </c>
      <c r="F2327" s="10">
        <v>40379</v>
      </c>
      <c r="G2327" s="11">
        <v>350</v>
      </c>
      <c r="H2327" s="11">
        <v>0</v>
      </c>
      <c r="I2327" s="4"/>
      <c r="J2327" s="4"/>
      <c r="K2327" s="11">
        <v>0</v>
      </c>
      <c r="L2327" s="4"/>
      <c r="M2327" s="4"/>
      <c r="N2327" s="11">
        <v>350</v>
      </c>
      <c r="O2327" s="4" t="s">
        <v>56</v>
      </c>
      <c r="P2327" s="4" t="s">
        <v>57</v>
      </c>
      <c r="Q2327" s="11">
        <v>0</v>
      </c>
      <c r="R2327" s="4"/>
      <c r="S2327" s="12"/>
    </row>
    <row r="2328" spans="1:19" x14ac:dyDescent="0.25">
      <c r="A2328" s="9" t="s">
        <v>1117</v>
      </c>
      <c r="B2328" s="9" t="s">
        <v>291</v>
      </c>
      <c r="C2328" s="4">
        <v>201004718</v>
      </c>
      <c r="D2328" s="4" t="s">
        <v>1212</v>
      </c>
      <c r="E2328" s="4" t="str">
        <f>"094042010"</f>
        <v>094042010</v>
      </c>
      <c r="F2328" s="10">
        <v>40379</v>
      </c>
      <c r="G2328" s="11">
        <v>350</v>
      </c>
      <c r="H2328" s="11">
        <v>0</v>
      </c>
      <c r="I2328" s="4"/>
      <c r="J2328" s="4"/>
      <c r="K2328" s="11">
        <v>0</v>
      </c>
      <c r="L2328" s="4"/>
      <c r="M2328" s="4"/>
      <c r="N2328" s="11">
        <v>350</v>
      </c>
      <c r="O2328" s="4" t="s">
        <v>56</v>
      </c>
      <c r="P2328" s="4" t="s">
        <v>57</v>
      </c>
      <c r="Q2328" s="11">
        <v>0</v>
      </c>
      <c r="R2328" s="4"/>
      <c r="S2328" s="12"/>
    </row>
    <row r="2329" spans="1:19" x14ac:dyDescent="0.25">
      <c r="A2329" s="9" t="s">
        <v>1117</v>
      </c>
      <c r="B2329" s="9" t="s">
        <v>291</v>
      </c>
      <c r="C2329" s="4">
        <v>201004722</v>
      </c>
      <c r="D2329" s="4" t="s">
        <v>1281</v>
      </c>
      <c r="E2329" s="4" t="str">
        <f>"094382010"</f>
        <v>094382010</v>
      </c>
      <c r="F2329" s="10">
        <v>40380</v>
      </c>
      <c r="G2329" s="11">
        <v>7</v>
      </c>
      <c r="H2329" s="11">
        <v>0</v>
      </c>
      <c r="I2329" s="4"/>
      <c r="J2329" s="4"/>
      <c r="K2329" s="11">
        <v>0</v>
      </c>
      <c r="L2329" s="4"/>
      <c r="M2329" s="4"/>
      <c r="N2329" s="11">
        <v>7</v>
      </c>
      <c r="O2329" s="4" t="s">
        <v>56</v>
      </c>
      <c r="P2329" s="4" t="s">
        <v>57</v>
      </c>
      <c r="Q2329" s="11">
        <v>0</v>
      </c>
      <c r="R2329" s="4"/>
      <c r="S2329" s="12"/>
    </row>
    <row r="2330" spans="1:19" x14ac:dyDescent="0.25">
      <c r="A2330" s="9" t="s">
        <v>1117</v>
      </c>
      <c r="B2330" s="9" t="s">
        <v>291</v>
      </c>
      <c r="C2330" s="4">
        <v>201004723</v>
      </c>
      <c r="D2330" s="4" t="s">
        <v>1612</v>
      </c>
      <c r="E2330" s="4" t="str">
        <f>"096272010"</f>
        <v>096272010</v>
      </c>
      <c r="F2330" s="10">
        <v>40387</v>
      </c>
      <c r="G2330" s="11">
        <v>250</v>
      </c>
      <c r="H2330" s="11">
        <v>0</v>
      </c>
      <c r="I2330" s="4"/>
      <c r="J2330" s="4"/>
      <c r="K2330" s="11">
        <v>0</v>
      </c>
      <c r="L2330" s="4"/>
      <c r="M2330" s="4"/>
      <c r="N2330" s="11">
        <v>250</v>
      </c>
      <c r="O2330" s="4" t="s">
        <v>56</v>
      </c>
      <c r="P2330" s="4" t="s">
        <v>57</v>
      </c>
      <c r="Q2330" s="11">
        <v>0</v>
      </c>
      <c r="R2330" s="4"/>
      <c r="S2330" s="12"/>
    </row>
    <row r="2331" spans="1:19" x14ac:dyDescent="0.25">
      <c r="A2331" s="9" t="s">
        <v>1117</v>
      </c>
      <c r="B2331" s="9" t="s">
        <v>291</v>
      </c>
      <c r="C2331" s="4">
        <v>201004739</v>
      </c>
      <c r="D2331" s="4" t="s">
        <v>1613</v>
      </c>
      <c r="E2331" s="4" t="str">
        <f>"094902010"</f>
        <v>094902010</v>
      </c>
      <c r="F2331" s="10">
        <v>40381</v>
      </c>
      <c r="G2331" s="11">
        <v>365.6</v>
      </c>
      <c r="H2331" s="11">
        <v>0</v>
      </c>
      <c r="I2331" s="4"/>
      <c r="J2331" s="4"/>
      <c r="K2331" s="11">
        <v>0</v>
      </c>
      <c r="L2331" s="4"/>
      <c r="M2331" s="4"/>
      <c r="N2331" s="11">
        <v>365.6</v>
      </c>
      <c r="O2331" s="4" t="s">
        <v>56</v>
      </c>
      <c r="P2331" s="4" t="s">
        <v>57</v>
      </c>
      <c r="Q2331" s="11">
        <v>0</v>
      </c>
      <c r="R2331" s="4"/>
      <c r="S2331" s="12"/>
    </row>
    <row r="2332" spans="1:19" x14ac:dyDescent="0.25">
      <c r="A2332" s="9" t="s">
        <v>1117</v>
      </c>
      <c r="B2332" s="9" t="s">
        <v>291</v>
      </c>
      <c r="C2332" s="4">
        <v>201004747</v>
      </c>
      <c r="D2332" s="4" t="s">
        <v>1181</v>
      </c>
      <c r="E2332" s="4" t="str">
        <f>"098502010"</f>
        <v>098502010</v>
      </c>
      <c r="F2332" s="10">
        <v>40394</v>
      </c>
      <c r="G2332" s="11">
        <v>368.5</v>
      </c>
      <c r="H2332" s="11">
        <v>0</v>
      </c>
      <c r="I2332" s="4"/>
      <c r="J2332" s="4"/>
      <c r="K2332" s="11">
        <v>0</v>
      </c>
      <c r="L2332" s="4"/>
      <c r="M2332" s="4"/>
      <c r="N2332" s="11">
        <v>368.5</v>
      </c>
      <c r="O2332" s="4" t="s">
        <v>56</v>
      </c>
      <c r="P2332" s="4" t="s">
        <v>57</v>
      </c>
      <c r="Q2332" s="11">
        <v>0</v>
      </c>
      <c r="R2332" s="4"/>
      <c r="S2332" s="12"/>
    </row>
    <row r="2333" spans="1:19" x14ac:dyDescent="0.25">
      <c r="A2333" s="9" t="s">
        <v>1117</v>
      </c>
      <c r="B2333" s="9" t="s">
        <v>291</v>
      </c>
      <c r="C2333" s="4">
        <v>201004750</v>
      </c>
      <c r="D2333" s="4" t="s">
        <v>1481</v>
      </c>
      <c r="E2333" s="4" t="str">
        <f>"097512010"</f>
        <v>097512010</v>
      </c>
      <c r="F2333" s="10">
        <v>40394</v>
      </c>
      <c r="G2333" s="11">
        <v>350</v>
      </c>
      <c r="H2333" s="11">
        <v>0</v>
      </c>
      <c r="I2333" s="4"/>
      <c r="J2333" s="4"/>
      <c r="K2333" s="11">
        <v>0</v>
      </c>
      <c r="L2333" s="4"/>
      <c r="M2333" s="4"/>
      <c r="N2333" s="11">
        <v>350</v>
      </c>
      <c r="O2333" s="4" t="s">
        <v>56</v>
      </c>
      <c r="P2333" s="4" t="s">
        <v>57</v>
      </c>
      <c r="Q2333" s="11">
        <v>0</v>
      </c>
      <c r="R2333" s="4"/>
      <c r="S2333" s="12"/>
    </row>
    <row r="2334" spans="1:19" x14ac:dyDescent="0.25">
      <c r="A2334" s="9" t="s">
        <v>1117</v>
      </c>
      <c r="B2334" s="9" t="s">
        <v>291</v>
      </c>
      <c r="C2334" s="4">
        <v>201004751</v>
      </c>
      <c r="D2334" s="4" t="s">
        <v>1614</v>
      </c>
      <c r="E2334" s="4" t="str">
        <f>"095442010"</f>
        <v>095442010</v>
      </c>
      <c r="F2334" s="10">
        <v>40387</v>
      </c>
      <c r="G2334" s="11">
        <v>350</v>
      </c>
      <c r="H2334" s="11">
        <v>0</v>
      </c>
      <c r="I2334" s="4"/>
      <c r="J2334" s="4"/>
      <c r="K2334" s="11">
        <v>0</v>
      </c>
      <c r="L2334" s="4"/>
      <c r="M2334" s="4"/>
      <c r="N2334" s="11">
        <v>350</v>
      </c>
      <c r="O2334" s="4" t="s">
        <v>56</v>
      </c>
      <c r="P2334" s="4" t="s">
        <v>57</v>
      </c>
      <c r="Q2334" s="11">
        <v>0</v>
      </c>
      <c r="R2334" s="4"/>
      <c r="S2334" s="12"/>
    </row>
    <row r="2335" spans="1:19" x14ac:dyDescent="0.25">
      <c r="A2335" s="9" t="s">
        <v>1117</v>
      </c>
      <c r="B2335" s="9" t="s">
        <v>291</v>
      </c>
      <c r="C2335" s="4">
        <v>201004752</v>
      </c>
      <c r="D2335" s="4" t="s">
        <v>1133</v>
      </c>
      <c r="E2335" s="4" t="str">
        <f>"095022010"</f>
        <v>095022010</v>
      </c>
      <c r="F2335" s="10">
        <v>40381</v>
      </c>
      <c r="G2335" s="11">
        <v>17.3</v>
      </c>
      <c r="H2335" s="11">
        <v>0</v>
      </c>
      <c r="I2335" s="4"/>
      <c r="J2335" s="4"/>
      <c r="K2335" s="11">
        <v>0</v>
      </c>
      <c r="L2335" s="4"/>
      <c r="M2335" s="4"/>
      <c r="N2335" s="11">
        <v>17.3</v>
      </c>
      <c r="O2335" s="4" t="s">
        <v>56</v>
      </c>
      <c r="P2335" s="4" t="s">
        <v>57</v>
      </c>
      <c r="Q2335" s="11">
        <v>0</v>
      </c>
      <c r="R2335" s="4"/>
      <c r="S2335" s="12"/>
    </row>
    <row r="2336" spans="1:19" x14ac:dyDescent="0.25">
      <c r="A2336" s="9" t="s">
        <v>1117</v>
      </c>
      <c r="B2336" s="9" t="s">
        <v>291</v>
      </c>
      <c r="C2336" s="4">
        <v>201004758</v>
      </c>
      <c r="D2336" s="4" t="s">
        <v>1182</v>
      </c>
      <c r="E2336" s="4" t="str">
        <f>"094802010"</f>
        <v>094802010</v>
      </c>
      <c r="F2336" s="10">
        <v>40381</v>
      </c>
      <c r="G2336" s="11">
        <v>350</v>
      </c>
      <c r="H2336" s="11">
        <v>0</v>
      </c>
      <c r="I2336" s="4"/>
      <c r="J2336" s="4"/>
      <c r="K2336" s="11">
        <v>0</v>
      </c>
      <c r="L2336" s="4"/>
      <c r="M2336" s="4"/>
      <c r="N2336" s="11">
        <v>350</v>
      </c>
      <c r="O2336" s="4" t="s">
        <v>56</v>
      </c>
      <c r="P2336" s="4" t="s">
        <v>57</v>
      </c>
      <c r="Q2336" s="11">
        <v>0</v>
      </c>
      <c r="R2336" s="4"/>
      <c r="S2336" s="12"/>
    </row>
    <row r="2337" spans="1:19" x14ac:dyDescent="0.25">
      <c r="A2337" s="9" t="s">
        <v>1117</v>
      </c>
      <c r="B2337" s="9" t="s">
        <v>291</v>
      </c>
      <c r="C2337" s="4">
        <v>201004761</v>
      </c>
      <c r="D2337" s="4" t="s">
        <v>1181</v>
      </c>
      <c r="E2337" s="4" t="str">
        <f>"095462010"</f>
        <v>095462010</v>
      </c>
      <c r="F2337" s="10">
        <v>40388</v>
      </c>
      <c r="G2337" s="11">
        <v>382.25</v>
      </c>
      <c r="H2337" s="11">
        <v>0</v>
      </c>
      <c r="I2337" s="4"/>
      <c r="J2337" s="4"/>
      <c r="K2337" s="11">
        <v>0</v>
      </c>
      <c r="L2337" s="4"/>
      <c r="M2337" s="4"/>
      <c r="N2337" s="11">
        <v>382.25</v>
      </c>
      <c r="O2337" s="4" t="s">
        <v>56</v>
      </c>
      <c r="P2337" s="4" t="s">
        <v>57</v>
      </c>
      <c r="Q2337" s="11">
        <v>0</v>
      </c>
      <c r="R2337" s="4"/>
      <c r="S2337" s="12"/>
    </row>
    <row r="2338" spans="1:19" x14ac:dyDescent="0.25">
      <c r="A2338" s="9" t="s">
        <v>1117</v>
      </c>
      <c r="B2338" s="9" t="s">
        <v>291</v>
      </c>
      <c r="C2338" s="4">
        <v>201004765</v>
      </c>
      <c r="D2338" s="4" t="s">
        <v>1488</v>
      </c>
      <c r="E2338" s="4" t="str">
        <f>"094822010"</f>
        <v>094822010</v>
      </c>
      <c r="F2338" s="10">
        <v>40381</v>
      </c>
      <c r="G2338" s="11">
        <v>90.3</v>
      </c>
      <c r="H2338" s="11">
        <v>0</v>
      </c>
      <c r="I2338" s="4"/>
      <c r="J2338" s="4"/>
      <c r="K2338" s="11">
        <v>0</v>
      </c>
      <c r="L2338" s="4"/>
      <c r="M2338" s="4"/>
      <c r="N2338" s="11">
        <v>90.3</v>
      </c>
      <c r="O2338" s="4" t="s">
        <v>56</v>
      </c>
      <c r="P2338" s="4" t="s">
        <v>57</v>
      </c>
      <c r="Q2338" s="11">
        <v>0</v>
      </c>
      <c r="R2338" s="4"/>
      <c r="S2338" s="12"/>
    </row>
    <row r="2339" spans="1:19" x14ac:dyDescent="0.25">
      <c r="A2339" s="9" t="s">
        <v>1117</v>
      </c>
      <c r="B2339" s="9" t="s">
        <v>291</v>
      </c>
      <c r="C2339" s="4">
        <v>201004766</v>
      </c>
      <c r="D2339" s="4" t="s">
        <v>1177</v>
      </c>
      <c r="E2339" s="4" t="str">
        <f>"096312010"</f>
        <v>096312010</v>
      </c>
      <c r="F2339" s="10">
        <v>40387</v>
      </c>
      <c r="G2339" s="11">
        <v>375.2</v>
      </c>
      <c r="H2339" s="11">
        <v>0</v>
      </c>
      <c r="I2339" s="4"/>
      <c r="J2339" s="4"/>
      <c r="K2339" s="11">
        <v>0</v>
      </c>
      <c r="L2339" s="4"/>
      <c r="M2339" s="4"/>
      <c r="N2339" s="11">
        <v>375.2</v>
      </c>
      <c r="O2339" s="4" t="s">
        <v>56</v>
      </c>
      <c r="P2339" s="4" t="s">
        <v>57</v>
      </c>
      <c r="Q2339" s="11">
        <v>0</v>
      </c>
      <c r="R2339" s="4"/>
      <c r="S2339" s="12"/>
    </row>
    <row r="2340" spans="1:19" x14ac:dyDescent="0.25">
      <c r="A2340" s="9" t="s">
        <v>1117</v>
      </c>
      <c r="B2340" s="9" t="s">
        <v>291</v>
      </c>
      <c r="C2340" s="4">
        <v>201004767</v>
      </c>
      <c r="D2340" s="4" t="s">
        <v>1550</v>
      </c>
      <c r="E2340" s="4" t="str">
        <f>"097632010"</f>
        <v>097632010</v>
      </c>
      <c r="F2340" s="10">
        <v>40394</v>
      </c>
      <c r="G2340" s="11">
        <v>350</v>
      </c>
      <c r="H2340" s="11">
        <v>0</v>
      </c>
      <c r="I2340" s="4"/>
      <c r="J2340" s="4"/>
      <c r="K2340" s="11">
        <v>0</v>
      </c>
      <c r="L2340" s="4"/>
      <c r="M2340" s="4"/>
      <c r="N2340" s="11">
        <v>350</v>
      </c>
      <c r="O2340" s="4" t="s">
        <v>56</v>
      </c>
      <c r="P2340" s="4" t="s">
        <v>57</v>
      </c>
      <c r="Q2340" s="11">
        <v>0</v>
      </c>
      <c r="R2340" s="4"/>
      <c r="S2340" s="12"/>
    </row>
    <row r="2341" spans="1:19" x14ac:dyDescent="0.25">
      <c r="A2341" s="9" t="s">
        <v>1117</v>
      </c>
      <c r="B2341" s="9" t="s">
        <v>291</v>
      </c>
      <c r="C2341" s="4">
        <v>201004781</v>
      </c>
      <c r="D2341" s="4" t="s">
        <v>1149</v>
      </c>
      <c r="E2341" s="4" t="str">
        <f>"097012010"</f>
        <v>097012010</v>
      </c>
      <c r="F2341" s="10">
        <v>40394</v>
      </c>
      <c r="G2341" s="11">
        <v>350</v>
      </c>
      <c r="H2341" s="11">
        <v>0</v>
      </c>
      <c r="I2341" s="4"/>
      <c r="J2341" s="4"/>
      <c r="K2341" s="11">
        <v>0</v>
      </c>
      <c r="L2341" s="4"/>
      <c r="M2341" s="4"/>
      <c r="N2341" s="11">
        <v>350</v>
      </c>
      <c r="O2341" s="4" t="s">
        <v>56</v>
      </c>
      <c r="P2341" s="4" t="s">
        <v>57</v>
      </c>
      <c r="Q2341" s="11">
        <v>0</v>
      </c>
      <c r="R2341" s="4"/>
      <c r="S2341" s="12"/>
    </row>
    <row r="2342" spans="1:19" x14ac:dyDescent="0.25">
      <c r="A2342" s="9" t="s">
        <v>1117</v>
      </c>
      <c r="B2342" s="9" t="s">
        <v>291</v>
      </c>
      <c r="C2342" s="4">
        <v>201004782</v>
      </c>
      <c r="D2342" s="4" t="s">
        <v>1181</v>
      </c>
      <c r="E2342" s="4" t="str">
        <f>"096132010"</f>
        <v>096132010</v>
      </c>
      <c r="F2342" s="10">
        <v>40387</v>
      </c>
      <c r="G2342" s="11">
        <v>21.75</v>
      </c>
      <c r="H2342" s="11">
        <v>0</v>
      </c>
      <c r="I2342" s="4"/>
      <c r="J2342" s="4"/>
      <c r="K2342" s="11">
        <v>0</v>
      </c>
      <c r="L2342" s="4"/>
      <c r="M2342" s="4"/>
      <c r="N2342" s="11">
        <v>21.75</v>
      </c>
      <c r="O2342" s="4" t="s">
        <v>56</v>
      </c>
      <c r="P2342" s="4" t="s">
        <v>57</v>
      </c>
      <c r="Q2342" s="11">
        <v>0</v>
      </c>
      <c r="R2342" s="4"/>
      <c r="S2342" s="12"/>
    </row>
    <row r="2343" spans="1:19" x14ac:dyDescent="0.25">
      <c r="A2343" s="9" t="s">
        <v>1117</v>
      </c>
      <c r="B2343" s="9" t="s">
        <v>291</v>
      </c>
      <c r="C2343" s="4">
        <v>201004784</v>
      </c>
      <c r="D2343" s="4" t="s">
        <v>1615</v>
      </c>
      <c r="E2343" s="4" t="str">
        <f>"095872010"</f>
        <v>095872010</v>
      </c>
      <c r="F2343" s="10">
        <v>40387</v>
      </c>
      <c r="G2343" s="11">
        <v>7</v>
      </c>
      <c r="H2343" s="11">
        <v>0</v>
      </c>
      <c r="I2343" s="4"/>
      <c r="J2343" s="4"/>
      <c r="K2343" s="11">
        <v>0</v>
      </c>
      <c r="L2343" s="4"/>
      <c r="M2343" s="4"/>
      <c r="N2343" s="11">
        <v>7</v>
      </c>
      <c r="O2343" s="4" t="s">
        <v>56</v>
      </c>
      <c r="P2343" s="4" t="s">
        <v>57</v>
      </c>
      <c r="Q2343" s="11">
        <v>0</v>
      </c>
      <c r="R2343" s="4"/>
      <c r="S2343" s="12"/>
    </row>
    <row r="2344" spans="1:19" x14ac:dyDescent="0.25">
      <c r="A2344" s="9" t="s">
        <v>1117</v>
      </c>
      <c r="B2344" s="9" t="s">
        <v>291</v>
      </c>
      <c r="C2344" s="4">
        <v>201004785</v>
      </c>
      <c r="D2344" s="4" t="s">
        <v>1616</v>
      </c>
      <c r="E2344" s="4" t="str">
        <f>"095852010"</f>
        <v>095852010</v>
      </c>
      <c r="F2344" s="10">
        <v>40387</v>
      </c>
      <c r="G2344" s="11">
        <v>350</v>
      </c>
      <c r="H2344" s="11">
        <v>0</v>
      </c>
      <c r="I2344" s="4"/>
      <c r="J2344" s="4"/>
      <c r="K2344" s="11">
        <v>0</v>
      </c>
      <c r="L2344" s="4"/>
      <c r="M2344" s="4"/>
      <c r="N2344" s="11">
        <v>350</v>
      </c>
      <c r="O2344" s="4" t="s">
        <v>56</v>
      </c>
      <c r="P2344" s="4" t="s">
        <v>57</v>
      </c>
      <c r="Q2344" s="11">
        <v>0</v>
      </c>
      <c r="R2344" s="4"/>
      <c r="S2344" s="12"/>
    </row>
    <row r="2345" spans="1:19" x14ac:dyDescent="0.25">
      <c r="A2345" s="9" t="s">
        <v>1117</v>
      </c>
      <c r="B2345" s="9" t="s">
        <v>291</v>
      </c>
      <c r="C2345" s="4">
        <v>201004787</v>
      </c>
      <c r="D2345" s="4" t="s">
        <v>1177</v>
      </c>
      <c r="E2345" s="4" t="str">
        <f>"096112010"</f>
        <v>096112010</v>
      </c>
      <c r="F2345" s="10">
        <v>40387</v>
      </c>
      <c r="G2345" s="11">
        <v>6.9</v>
      </c>
      <c r="H2345" s="11">
        <v>0</v>
      </c>
      <c r="I2345" s="4"/>
      <c r="J2345" s="4"/>
      <c r="K2345" s="11">
        <v>0</v>
      </c>
      <c r="L2345" s="4"/>
      <c r="M2345" s="4"/>
      <c r="N2345" s="11">
        <v>6.9</v>
      </c>
      <c r="O2345" s="4" t="s">
        <v>56</v>
      </c>
      <c r="P2345" s="4" t="s">
        <v>57</v>
      </c>
      <c r="Q2345" s="11">
        <v>0</v>
      </c>
      <c r="R2345" s="4"/>
      <c r="S2345" s="12"/>
    </row>
    <row r="2346" spans="1:19" x14ac:dyDescent="0.25">
      <c r="A2346" s="9" t="s">
        <v>1117</v>
      </c>
      <c r="B2346" s="9" t="s">
        <v>291</v>
      </c>
      <c r="C2346" s="4">
        <v>201004797</v>
      </c>
      <c r="D2346" s="4" t="s">
        <v>1617</v>
      </c>
      <c r="E2346" s="4" t="str">
        <f>"096292010"</f>
        <v>096292010</v>
      </c>
      <c r="F2346" s="10">
        <v>40387</v>
      </c>
      <c r="G2346" s="11">
        <v>350</v>
      </c>
      <c r="H2346" s="11">
        <v>0</v>
      </c>
      <c r="I2346" s="4"/>
      <c r="J2346" s="4"/>
      <c r="K2346" s="11">
        <v>0</v>
      </c>
      <c r="L2346" s="4"/>
      <c r="M2346" s="4"/>
      <c r="N2346" s="11">
        <v>350</v>
      </c>
      <c r="O2346" s="4" t="s">
        <v>56</v>
      </c>
      <c r="P2346" s="4" t="s">
        <v>57</v>
      </c>
      <c r="Q2346" s="11">
        <v>0</v>
      </c>
      <c r="R2346" s="4"/>
      <c r="S2346" s="12"/>
    </row>
    <row r="2347" spans="1:19" x14ac:dyDescent="0.25">
      <c r="A2347" s="9" t="s">
        <v>1117</v>
      </c>
      <c r="B2347" s="9" t="s">
        <v>291</v>
      </c>
      <c r="C2347" s="4">
        <v>201004801</v>
      </c>
      <c r="D2347" s="4" t="s">
        <v>1309</v>
      </c>
      <c r="E2347" s="4" t="str">
        <f>"095752010"</f>
        <v>095752010</v>
      </c>
      <c r="F2347" s="10">
        <v>40387</v>
      </c>
      <c r="G2347" s="11">
        <v>350</v>
      </c>
      <c r="H2347" s="11">
        <v>0</v>
      </c>
      <c r="I2347" s="4"/>
      <c r="J2347" s="4"/>
      <c r="K2347" s="11">
        <v>0</v>
      </c>
      <c r="L2347" s="4"/>
      <c r="M2347" s="4"/>
      <c r="N2347" s="11">
        <v>350</v>
      </c>
      <c r="O2347" s="4" t="s">
        <v>56</v>
      </c>
      <c r="P2347" s="4" t="s">
        <v>57</v>
      </c>
      <c r="Q2347" s="11">
        <v>0</v>
      </c>
      <c r="R2347" s="4"/>
      <c r="S2347" s="12"/>
    </row>
    <row r="2348" spans="1:19" x14ac:dyDescent="0.25">
      <c r="A2348" s="9" t="s">
        <v>1117</v>
      </c>
      <c r="B2348" s="9" t="s">
        <v>291</v>
      </c>
      <c r="C2348" s="4">
        <v>201004802</v>
      </c>
      <c r="D2348" s="4" t="s">
        <v>1155</v>
      </c>
      <c r="E2348" s="4" t="str">
        <f>"095732010"</f>
        <v>095732010</v>
      </c>
      <c r="F2348" s="10">
        <v>40387</v>
      </c>
      <c r="G2348" s="11">
        <v>350</v>
      </c>
      <c r="H2348" s="11">
        <v>0</v>
      </c>
      <c r="I2348" s="4"/>
      <c r="J2348" s="4"/>
      <c r="K2348" s="11">
        <v>0</v>
      </c>
      <c r="L2348" s="4"/>
      <c r="M2348" s="4"/>
      <c r="N2348" s="11">
        <v>350</v>
      </c>
      <c r="O2348" s="4" t="s">
        <v>56</v>
      </c>
      <c r="P2348" s="4" t="s">
        <v>57</v>
      </c>
      <c r="Q2348" s="11">
        <v>0</v>
      </c>
      <c r="R2348" s="4"/>
      <c r="S2348" s="12"/>
    </row>
    <row r="2349" spans="1:19" x14ac:dyDescent="0.25">
      <c r="A2349" s="9" t="s">
        <v>1117</v>
      </c>
      <c r="B2349" s="9" t="s">
        <v>291</v>
      </c>
      <c r="C2349" s="4">
        <v>201004807</v>
      </c>
      <c r="D2349" s="4" t="s">
        <v>1618</v>
      </c>
      <c r="E2349" s="4" t="str">
        <f>"096992010"</f>
        <v>096992010</v>
      </c>
      <c r="F2349" s="10">
        <v>40394</v>
      </c>
      <c r="G2349" s="11">
        <v>350</v>
      </c>
      <c r="H2349" s="11">
        <v>0</v>
      </c>
      <c r="I2349" s="4"/>
      <c r="J2349" s="4"/>
      <c r="K2349" s="11">
        <v>0</v>
      </c>
      <c r="L2349" s="4"/>
      <c r="M2349" s="4"/>
      <c r="N2349" s="11">
        <v>350</v>
      </c>
      <c r="O2349" s="4" t="s">
        <v>56</v>
      </c>
      <c r="P2349" s="4" t="s">
        <v>57</v>
      </c>
      <c r="Q2349" s="11">
        <v>0</v>
      </c>
      <c r="R2349" s="4"/>
      <c r="S2349" s="12"/>
    </row>
    <row r="2350" spans="1:19" x14ac:dyDescent="0.25">
      <c r="A2350" s="9" t="s">
        <v>1117</v>
      </c>
      <c r="B2350" s="9" t="s">
        <v>291</v>
      </c>
      <c r="C2350" s="4">
        <v>201004818</v>
      </c>
      <c r="D2350" s="4" t="s">
        <v>1619</v>
      </c>
      <c r="E2350" s="4" t="str">
        <f>"095402010"</f>
        <v>095402010</v>
      </c>
      <c r="F2350" s="10">
        <v>40388</v>
      </c>
      <c r="G2350" s="11">
        <v>350</v>
      </c>
      <c r="H2350" s="11">
        <v>0</v>
      </c>
      <c r="I2350" s="4"/>
      <c r="J2350" s="4"/>
      <c r="K2350" s="11">
        <v>0</v>
      </c>
      <c r="L2350" s="4"/>
      <c r="M2350" s="4"/>
      <c r="N2350" s="11">
        <v>350</v>
      </c>
      <c r="O2350" s="4" t="s">
        <v>56</v>
      </c>
      <c r="P2350" s="4" t="s">
        <v>57</v>
      </c>
      <c r="Q2350" s="11">
        <v>0</v>
      </c>
      <c r="R2350" s="4"/>
      <c r="S2350" s="12"/>
    </row>
    <row r="2351" spans="1:19" x14ac:dyDescent="0.25">
      <c r="A2351" s="9" t="s">
        <v>1117</v>
      </c>
      <c r="B2351" s="9" t="s">
        <v>291</v>
      </c>
      <c r="C2351" s="4">
        <v>201004822</v>
      </c>
      <c r="D2351" s="4" t="s">
        <v>1424</v>
      </c>
      <c r="E2351" s="4" t="str">
        <f>"100102010"</f>
        <v>100102010</v>
      </c>
      <c r="F2351" s="10">
        <v>40401</v>
      </c>
      <c r="G2351" s="11">
        <v>60.2</v>
      </c>
      <c r="H2351" s="11">
        <v>0</v>
      </c>
      <c r="I2351" s="4"/>
      <c r="J2351" s="4"/>
      <c r="K2351" s="11">
        <v>0</v>
      </c>
      <c r="L2351" s="4"/>
      <c r="M2351" s="4"/>
      <c r="N2351" s="11">
        <v>60.2</v>
      </c>
      <c r="O2351" s="4" t="s">
        <v>56</v>
      </c>
      <c r="P2351" s="4" t="s">
        <v>57</v>
      </c>
      <c r="Q2351" s="11">
        <v>0</v>
      </c>
      <c r="R2351" s="4"/>
      <c r="S2351" s="12"/>
    </row>
    <row r="2352" spans="1:19" x14ac:dyDescent="0.25">
      <c r="A2352" s="9" t="s">
        <v>1117</v>
      </c>
      <c r="B2352" s="9" t="s">
        <v>291</v>
      </c>
      <c r="C2352" s="4">
        <v>201004826</v>
      </c>
      <c r="D2352" s="4" t="s">
        <v>1351</v>
      </c>
      <c r="E2352" s="4" t="str">
        <f>"096612010"</f>
        <v>096612010</v>
      </c>
      <c r="F2352" s="10">
        <v>40387</v>
      </c>
      <c r="G2352" s="11">
        <v>350</v>
      </c>
      <c r="H2352" s="11">
        <v>0</v>
      </c>
      <c r="I2352" s="4"/>
      <c r="J2352" s="4"/>
      <c r="K2352" s="11">
        <v>0</v>
      </c>
      <c r="L2352" s="4"/>
      <c r="M2352" s="4"/>
      <c r="N2352" s="11">
        <v>350</v>
      </c>
      <c r="O2352" s="4" t="s">
        <v>56</v>
      </c>
      <c r="P2352" s="4" t="s">
        <v>57</v>
      </c>
      <c r="Q2352" s="11">
        <v>0</v>
      </c>
      <c r="R2352" s="4"/>
      <c r="S2352" s="12"/>
    </row>
    <row r="2353" spans="1:19" x14ac:dyDescent="0.25">
      <c r="A2353" s="9" t="s">
        <v>1117</v>
      </c>
      <c r="B2353" s="9" t="s">
        <v>291</v>
      </c>
      <c r="C2353" s="4">
        <v>201004829</v>
      </c>
      <c r="D2353" s="4" t="s">
        <v>1620</v>
      </c>
      <c r="E2353" s="4" t="str">
        <f>"096732010"</f>
        <v>096732010</v>
      </c>
      <c r="F2353" s="10">
        <v>40387</v>
      </c>
      <c r="G2353" s="11">
        <v>350</v>
      </c>
      <c r="H2353" s="11">
        <v>0</v>
      </c>
      <c r="I2353" s="4"/>
      <c r="J2353" s="4"/>
      <c r="K2353" s="11">
        <v>0</v>
      </c>
      <c r="L2353" s="4"/>
      <c r="M2353" s="4"/>
      <c r="N2353" s="11">
        <v>350</v>
      </c>
      <c r="O2353" s="4" t="s">
        <v>56</v>
      </c>
      <c r="P2353" s="4" t="s">
        <v>57</v>
      </c>
      <c r="Q2353" s="11">
        <v>0</v>
      </c>
      <c r="R2353" s="4"/>
      <c r="S2353" s="12"/>
    </row>
    <row r="2354" spans="1:19" x14ac:dyDescent="0.25">
      <c r="A2354" s="9" t="s">
        <v>1117</v>
      </c>
      <c r="B2354" s="9" t="s">
        <v>291</v>
      </c>
      <c r="C2354" s="4">
        <v>201004861</v>
      </c>
      <c r="D2354" s="4" t="s">
        <v>1354</v>
      </c>
      <c r="E2354" s="4" t="str">
        <f>"097492010"</f>
        <v>097492010</v>
      </c>
      <c r="F2354" s="10">
        <v>40394</v>
      </c>
      <c r="G2354" s="11">
        <v>11.6</v>
      </c>
      <c r="H2354" s="11">
        <v>0</v>
      </c>
      <c r="I2354" s="4"/>
      <c r="J2354" s="4"/>
      <c r="K2354" s="11">
        <v>0</v>
      </c>
      <c r="L2354" s="4"/>
      <c r="M2354" s="4"/>
      <c r="N2354" s="11">
        <v>11.6</v>
      </c>
      <c r="O2354" s="4" t="s">
        <v>56</v>
      </c>
      <c r="P2354" s="4" t="s">
        <v>57</v>
      </c>
      <c r="Q2354" s="11">
        <v>0</v>
      </c>
      <c r="R2354" s="4"/>
      <c r="S2354" s="12"/>
    </row>
    <row r="2355" spans="1:19" x14ac:dyDescent="0.25">
      <c r="A2355" s="9" t="s">
        <v>1117</v>
      </c>
      <c r="B2355" s="9" t="s">
        <v>291</v>
      </c>
      <c r="C2355" s="4">
        <v>201004863</v>
      </c>
      <c r="D2355" s="4" t="s">
        <v>1488</v>
      </c>
      <c r="E2355" s="4" t="str">
        <f>"096852010"</f>
        <v>096852010</v>
      </c>
      <c r="F2355" s="10">
        <v>40394</v>
      </c>
      <c r="G2355" s="11">
        <v>22.2</v>
      </c>
      <c r="H2355" s="11">
        <v>0</v>
      </c>
      <c r="I2355" s="4"/>
      <c r="J2355" s="4"/>
      <c r="K2355" s="11">
        <v>0</v>
      </c>
      <c r="L2355" s="4"/>
      <c r="M2355" s="4"/>
      <c r="N2355" s="11">
        <v>22.2</v>
      </c>
      <c r="O2355" s="4" t="s">
        <v>56</v>
      </c>
      <c r="P2355" s="4" t="s">
        <v>57</v>
      </c>
      <c r="Q2355" s="11">
        <v>0</v>
      </c>
      <c r="R2355" s="4"/>
      <c r="S2355" s="12"/>
    </row>
    <row r="2356" spans="1:19" x14ac:dyDescent="0.25">
      <c r="A2356" s="9" t="s">
        <v>1117</v>
      </c>
      <c r="B2356" s="9" t="s">
        <v>291</v>
      </c>
      <c r="C2356" s="4">
        <v>201004867</v>
      </c>
      <c r="D2356" s="4" t="s">
        <v>1621</v>
      </c>
      <c r="E2356" s="4" t="str">
        <f>"097032010"</f>
        <v>097032010</v>
      </c>
      <c r="F2356" s="10">
        <v>40394</v>
      </c>
      <c r="G2356" s="11">
        <v>350</v>
      </c>
      <c r="H2356" s="11">
        <v>0</v>
      </c>
      <c r="I2356" s="4"/>
      <c r="J2356" s="4"/>
      <c r="K2356" s="11">
        <v>0</v>
      </c>
      <c r="L2356" s="4"/>
      <c r="M2356" s="4"/>
      <c r="N2356" s="11">
        <v>350</v>
      </c>
      <c r="O2356" s="4" t="s">
        <v>56</v>
      </c>
      <c r="P2356" s="4" t="s">
        <v>57</v>
      </c>
      <c r="Q2356" s="11">
        <v>0</v>
      </c>
      <c r="R2356" s="4"/>
      <c r="S2356" s="12"/>
    </row>
    <row r="2357" spans="1:19" x14ac:dyDescent="0.25">
      <c r="A2357" s="9" t="s">
        <v>1117</v>
      </c>
      <c r="B2357" s="9" t="s">
        <v>291</v>
      </c>
      <c r="C2357" s="4">
        <v>201004880</v>
      </c>
      <c r="D2357" s="4" t="s">
        <v>1622</v>
      </c>
      <c r="E2357" s="4" t="str">
        <f>"097532010"</f>
        <v>097532010</v>
      </c>
      <c r="F2357" s="10">
        <v>40394</v>
      </c>
      <c r="G2357" s="11">
        <v>350</v>
      </c>
      <c r="H2357" s="11">
        <v>0</v>
      </c>
      <c r="I2357" s="4"/>
      <c r="J2357" s="4"/>
      <c r="K2357" s="11">
        <v>0</v>
      </c>
      <c r="L2357" s="4"/>
      <c r="M2357" s="4"/>
      <c r="N2357" s="11">
        <v>350</v>
      </c>
      <c r="O2357" s="4" t="s">
        <v>56</v>
      </c>
      <c r="P2357" s="4" t="s">
        <v>57</v>
      </c>
      <c r="Q2357" s="11">
        <v>0</v>
      </c>
      <c r="R2357" s="4"/>
      <c r="S2357" s="12"/>
    </row>
    <row r="2358" spans="1:19" x14ac:dyDescent="0.25">
      <c r="A2358" s="9" t="s">
        <v>1117</v>
      </c>
      <c r="B2358" s="9" t="s">
        <v>291</v>
      </c>
      <c r="C2358" s="4">
        <v>201004882</v>
      </c>
      <c r="D2358" s="4" t="s">
        <v>1488</v>
      </c>
      <c r="E2358" s="4" t="str">
        <f>"098172010"</f>
        <v>098172010</v>
      </c>
      <c r="F2358" s="10">
        <v>40394</v>
      </c>
      <c r="G2358" s="11">
        <v>366.9</v>
      </c>
      <c r="H2358" s="11">
        <v>0</v>
      </c>
      <c r="I2358" s="4"/>
      <c r="J2358" s="4"/>
      <c r="K2358" s="11">
        <v>0</v>
      </c>
      <c r="L2358" s="4"/>
      <c r="M2358" s="4"/>
      <c r="N2358" s="11">
        <v>366.9</v>
      </c>
      <c r="O2358" s="4" t="s">
        <v>56</v>
      </c>
      <c r="P2358" s="4" t="s">
        <v>57</v>
      </c>
      <c r="Q2358" s="11">
        <v>0</v>
      </c>
      <c r="R2358" s="4"/>
      <c r="S2358" s="12"/>
    </row>
    <row r="2359" spans="1:19" x14ac:dyDescent="0.25">
      <c r="A2359" s="9" t="s">
        <v>1117</v>
      </c>
      <c r="B2359" s="9" t="s">
        <v>291</v>
      </c>
      <c r="C2359" s="4">
        <v>201004883</v>
      </c>
      <c r="D2359" s="4" t="s">
        <v>1177</v>
      </c>
      <c r="E2359" s="4" t="str">
        <f>"098152010"</f>
        <v>098152010</v>
      </c>
      <c r="F2359" s="10">
        <v>40394</v>
      </c>
      <c r="G2359" s="11">
        <v>19.2</v>
      </c>
      <c r="H2359" s="11">
        <v>0</v>
      </c>
      <c r="I2359" s="4"/>
      <c r="J2359" s="4"/>
      <c r="K2359" s="11">
        <v>0</v>
      </c>
      <c r="L2359" s="4"/>
      <c r="M2359" s="4"/>
      <c r="N2359" s="11">
        <v>19.2</v>
      </c>
      <c r="O2359" s="4" t="s">
        <v>56</v>
      </c>
      <c r="P2359" s="4" t="s">
        <v>57</v>
      </c>
      <c r="Q2359" s="11">
        <v>0</v>
      </c>
      <c r="R2359" s="4"/>
      <c r="S2359" s="12"/>
    </row>
    <row r="2360" spans="1:19" x14ac:dyDescent="0.25">
      <c r="A2360" s="9" t="s">
        <v>1117</v>
      </c>
      <c r="B2360" s="9" t="s">
        <v>291</v>
      </c>
      <c r="C2360" s="4">
        <v>201004885</v>
      </c>
      <c r="D2360" s="4" t="s">
        <v>1623</v>
      </c>
      <c r="E2360" s="4" t="str">
        <f>"098132010"</f>
        <v>098132010</v>
      </c>
      <c r="F2360" s="10">
        <v>40394</v>
      </c>
      <c r="G2360" s="11">
        <v>350</v>
      </c>
      <c r="H2360" s="11">
        <v>0</v>
      </c>
      <c r="I2360" s="4"/>
      <c r="J2360" s="4"/>
      <c r="K2360" s="11">
        <v>0</v>
      </c>
      <c r="L2360" s="4"/>
      <c r="M2360" s="4"/>
      <c r="N2360" s="11">
        <v>350</v>
      </c>
      <c r="O2360" s="4" t="s">
        <v>56</v>
      </c>
      <c r="P2360" s="4" t="s">
        <v>57</v>
      </c>
      <c r="Q2360" s="11">
        <v>0</v>
      </c>
      <c r="R2360" s="4"/>
      <c r="S2360" s="12"/>
    </row>
    <row r="2361" spans="1:19" x14ac:dyDescent="0.25">
      <c r="A2361" s="9" t="s">
        <v>1117</v>
      </c>
      <c r="B2361" s="9" t="s">
        <v>291</v>
      </c>
      <c r="C2361" s="4">
        <v>201004887</v>
      </c>
      <c r="D2361" s="4" t="s">
        <v>1197</v>
      </c>
      <c r="E2361" s="4" t="str">
        <f>"097412010"</f>
        <v>097412010</v>
      </c>
      <c r="F2361" s="10">
        <v>40394</v>
      </c>
      <c r="G2361" s="11">
        <v>350</v>
      </c>
      <c r="H2361" s="11">
        <v>0</v>
      </c>
      <c r="I2361" s="4"/>
      <c r="J2361" s="4"/>
      <c r="K2361" s="11">
        <v>0</v>
      </c>
      <c r="L2361" s="4"/>
      <c r="M2361" s="4"/>
      <c r="N2361" s="11">
        <v>350</v>
      </c>
      <c r="O2361" s="4" t="s">
        <v>56</v>
      </c>
      <c r="P2361" s="4" t="s">
        <v>57</v>
      </c>
      <c r="Q2361" s="11">
        <v>0</v>
      </c>
      <c r="R2361" s="4"/>
      <c r="S2361" s="12"/>
    </row>
    <row r="2362" spans="1:19" x14ac:dyDescent="0.25">
      <c r="A2362" s="9" t="s">
        <v>1117</v>
      </c>
      <c r="B2362" s="9" t="s">
        <v>291</v>
      </c>
      <c r="C2362" s="4">
        <v>201004893</v>
      </c>
      <c r="D2362" s="4" t="s">
        <v>1182</v>
      </c>
      <c r="E2362" s="4" t="str">
        <f>"099962010"</f>
        <v>099962010</v>
      </c>
      <c r="F2362" s="10">
        <v>40401</v>
      </c>
      <c r="G2362" s="11">
        <v>565.4</v>
      </c>
      <c r="H2362" s="11">
        <v>0</v>
      </c>
      <c r="I2362" s="4"/>
      <c r="J2362" s="4"/>
      <c r="K2362" s="11">
        <v>0</v>
      </c>
      <c r="L2362" s="4"/>
      <c r="M2362" s="4"/>
      <c r="N2362" s="11">
        <v>565.4</v>
      </c>
      <c r="O2362" s="4" t="s">
        <v>56</v>
      </c>
      <c r="P2362" s="4" t="s">
        <v>57</v>
      </c>
      <c r="Q2362" s="11">
        <v>0</v>
      </c>
      <c r="R2362" s="4"/>
      <c r="S2362" s="12"/>
    </row>
    <row r="2363" spans="1:19" x14ac:dyDescent="0.25">
      <c r="A2363" s="9" t="s">
        <v>1117</v>
      </c>
      <c r="B2363" s="9" t="s">
        <v>291</v>
      </c>
      <c r="C2363" s="4">
        <v>201004894</v>
      </c>
      <c r="D2363" s="4" t="s">
        <v>1624</v>
      </c>
      <c r="E2363" s="4" t="str">
        <f>"098962010"</f>
        <v>098962010</v>
      </c>
      <c r="F2363" s="10">
        <v>40396</v>
      </c>
      <c r="G2363" s="11">
        <v>350</v>
      </c>
      <c r="H2363" s="11">
        <v>0</v>
      </c>
      <c r="I2363" s="4"/>
      <c r="J2363" s="4"/>
      <c r="K2363" s="11">
        <v>0</v>
      </c>
      <c r="L2363" s="4"/>
      <c r="M2363" s="4"/>
      <c r="N2363" s="11">
        <v>350</v>
      </c>
      <c r="O2363" s="4" t="s">
        <v>56</v>
      </c>
      <c r="P2363" s="4" t="s">
        <v>57</v>
      </c>
      <c r="Q2363" s="11">
        <v>0</v>
      </c>
      <c r="R2363" s="4"/>
      <c r="S2363" s="12"/>
    </row>
    <row r="2364" spans="1:19" x14ac:dyDescent="0.25">
      <c r="A2364" s="9" t="s">
        <v>1117</v>
      </c>
      <c r="B2364" s="9" t="s">
        <v>291</v>
      </c>
      <c r="C2364" s="4">
        <v>201004895</v>
      </c>
      <c r="D2364" s="4" t="s">
        <v>1185</v>
      </c>
      <c r="E2364" s="4" t="str">
        <f>"098112010"</f>
        <v>098112010</v>
      </c>
      <c r="F2364" s="10">
        <v>40394</v>
      </c>
      <c r="G2364" s="11">
        <v>362</v>
      </c>
      <c r="H2364" s="11">
        <v>0</v>
      </c>
      <c r="I2364" s="4"/>
      <c r="J2364" s="4"/>
      <c r="K2364" s="11">
        <v>0</v>
      </c>
      <c r="L2364" s="4"/>
      <c r="M2364" s="4"/>
      <c r="N2364" s="11">
        <v>362</v>
      </c>
      <c r="O2364" s="4" t="s">
        <v>56</v>
      </c>
      <c r="P2364" s="4" t="s">
        <v>57</v>
      </c>
      <c r="Q2364" s="11">
        <v>0</v>
      </c>
      <c r="R2364" s="4"/>
      <c r="S2364" s="12"/>
    </row>
    <row r="2365" spans="1:19" x14ac:dyDescent="0.25">
      <c r="A2365" s="9" t="s">
        <v>1117</v>
      </c>
      <c r="B2365" s="9" t="s">
        <v>291</v>
      </c>
      <c r="C2365" s="4">
        <v>201004896</v>
      </c>
      <c r="D2365" s="4" t="s">
        <v>1185</v>
      </c>
      <c r="E2365" s="4" t="str">
        <f>"098092010"</f>
        <v>098092010</v>
      </c>
      <c r="F2365" s="10">
        <v>40394</v>
      </c>
      <c r="G2365" s="11">
        <v>378</v>
      </c>
      <c r="H2365" s="11">
        <v>0</v>
      </c>
      <c r="I2365" s="4"/>
      <c r="J2365" s="4"/>
      <c r="K2365" s="11">
        <v>0</v>
      </c>
      <c r="L2365" s="4"/>
      <c r="M2365" s="4"/>
      <c r="N2365" s="11">
        <v>378</v>
      </c>
      <c r="O2365" s="4" t="s">
        <v>56</v>
      </c>
      <c r="P2365" s="4" t="s">
        <v>57</v>
      </c>
      <c r="Q2365" s="11">
        <v>0</v>
      </c>
      <c r="R2365" s="4"/>
      <c r="S2365" s="12"/>
    </row>
    <row r="2366" spans="1:19" x14ac:dyDescent="0.25">
      <c r="A2366" s="9" t="s">
        <v>1117</v>
      </c>
      <c r="B2366" s="9" t="s">
        <v>291</v>
      </c>
      <c r="C2366" s="4">
        <v>201004898</v>
      </c>
      <c r="D2366" s="4" t="s">
        <v>1625</v>
      </c>
      <c r="E2366" s="4" t="str">
        <f>"098072010"</f>
        <v>098072010</v>
      </c>
      <c r="F2366" s="10">
        <v>40394</v>
      </c>
      <c r="G2366" s="11">
        <v>350</v>
      </c>
      <c r="H2366" s="11">
        <v>0</v>
      </c>
      <c r="I2366" s="4"/>
      <c r="J2366" s="4"/>
      <c r="K2366" s="11">
        <v>0</v>
      </c>
      <c r="L2366" s="4"/>
      <c r="M2366" s="4"/>
      <c r="N2366" s="11">
        <v>350</v>
      </c>
      <c r="O2366" s="4" t="s">
        <v>56</v>
      </c>
      <c r="P2366" s="4" t="s">
        <v>57</v>
      </c>
      <c r="Q2366" s="11">
        <v>0</v>
      </c>
      <c r="R2366" s="4"/>
      <c r="S2366" s="12"/>
    </row>
    <row r="2367" spans="1:19" x14ac:dyDescent="0.25">
      <c r="A2367" s="9" t="s">
        <v>1117</v>
      </c>
      <c r="B2367" s="9" t="s">
        <v>291</v>
      </c>
      <c r="C2367" s="4">
        <v>201004899</v>
      </c>
      <c r="D2367" s="4" t="s">
        <v>1626</v>
      </c>
      <c r="E2367" s="4" t="str">
        <f>"098052010"</f>
        <v>098052010</v>
      </c>
      <c r="F2367" s="10">
        <v>40394</v>
      </c>
      <c r="G2367" s="11">
        <v>23.5</v>
      </c>
      <c r="H2367" s="11">
        <v>0</v>
      </c>
      <c r="I2367" s="4"/>
      <c r="J2367" s="4"/>
      <c r="K2367" s="11">
        <v>0</v>
      </c>
      <c r="L2367" s="4"/>
      <c r="M2367" s="4"/>
      <c r="N2367" s="11">
        <v>23.5</v>
      </c>
      <c r="O2367" s="4" t="s">
        <v>56</v>
      </c>
      <c r="P2367" s="4" t="s">
        <v>57</v>
      </c>
      <c r="Q2367" s="11">
        <v>0</v>
      </c>
      <c r="R2367" s="4"/>
      <c r="S2367" s="12"/>
    </row>
    <row r="2368" spans="1:19" x14ac:dyDescent="0.25">
      <c r="A2368" s="9" t="s">
        <v>1117</v>
      </c>
      <c r="B2368" s="9" t="s">
        <v>291</v>
      </c>
      <c r="C2368" s="4">
        <v>201004900</v>
      </c>
      <c r="D2368" s="4" t="s">
        <v>1488</v>
      </c>
      <c r="E2368" s="4" t="str">
        <f>"098252010"</f>
        <v>098252010</v>
      </c>
      <c r="F2368" s="10">
        <v>40394</v>
      </c>
      <c r="G2368" s="11">
        <v>64.400000000000006</v>
      </c>
      <c r="H2368" s="11">
        <v>0</v>
      </c>
      <c r="I2368" s="4"/>
      <c r="J2368" s="4"/>
      <c r="K2368" s="11">
        <v>0</v>
      </c>
      <c r="L2368" s="4"/>
      <c r="M2368" s="4"/>
      <c r="N2368" s="11">
        <v>64.400000000000006</v>
      </c>
      <c r="O2368" s="4" t="s">
        <v>56</v>
      </c>
      <c r="P2368" s="4" t="s">
        <v>57</v>
      </c>
      <c r="Q2368" s="11">
        <v>0</v>
      </c>
      <c r="R2368" s="4"/>
      <c r="S2368" s="12"/>
    </row>
    <row r="2369" spans="1:19" x14ac:dyDescent="0.25">
      <c r="A2369" s="9" t="s">
        <v>1117</v>
      </c>
      <c r="B2369" s="9" t="s">
        <v>291</v>
      </c>
      <c r="C2369" s="4">
        <v>201004901</v>
      </c>
      <c r="D2369" s="4" t="s">
        <v>1621</v>
      </c>
      <c r="E2369" s="4" t="str">
        <f>"099002010"</f>
        <v>099002010</v>
      </c>
      <c r="F2369" s="10">
        <v>40396</v>
      </c>
      <c r="G2369" s="11">
        <v>350</v>
      </c>
      <c r="H2369" s="11">
        <v>0</v>
      </c>
      <c r="I2369" s="4"/>
      <c r="J2369" s="4"/>
      <c r="K2369" s="11">
        <v>0</v>
      </c>
      <c r="L2369" s="4"/>
      <c r="M2369" s="4"/>
      <c r="N2369" s="11">
        <v>350</v>
      </c>
      <c r="O2369" s="4" t="s">
        <v>56</v>
      </c>
      <c r="P2369" s="4" t="s">
        <v>57</v>
      </c>
      <c r="Q2369" s="11">
        <v>0</v>
      </c>
      <c r="R2369" s="4"/>
      <c r="S2369" s="12"/>
    </row>
    <row r="2370" spans="1:19" x14ac:dyDescent="0.25">
      <c r="A2370" s="9" t="s">
        <v>1117</v>
      </c>
      <c r="B2370" s="9" t="s">
        <v>291</v>
      </c>
      <c r="C2370" s="4">
        <v>201004902</v>
      </c>
      <c r="D2370" s="4" t="s">
        <v>1627</v>
      </c>
      <c r="E2370" s="4" t="str">
        <f>"098232010"</f>
        <v>098232010</v>
      </c>
      <c r="F2370" s="10">
        <v>40394</v>
      </c>
      <c r="G2370" s="11">
        <v>358.2</v>
      </c>
      <c r="H2370" s="11">
        <v>0</v>
      </c>
      <c r="I2370" s="4"/>
      <c r="J2370" s="4"/>
      <c r="K2370" s="11">
        <v>0</v>
      </c>
      <c r="L2370" s="4"/>
      <c r="M2370" s="4"/>
      <c r="N2370" s="11">
        <v>358.2</v>
      </c>
      <c r="O2370" s="4" t="s">
        <v>56</v>
      </c>
      <c r="P2370" s="4" t="s">
        <v>57</v>
      </c>
      <c r="Q2370" s="11">
        <v>0</v>
      </c>
      <c r="R2370" s="4"/>
      <c r="S2370" s="12"/>
    </row>
    <row r="2371" spans="1:19" x14ac:dyDescent="0.25">
      <c r="A2371" s="9" t="s">
        <v>1117</v>
      </c>
      <c r="B2371" s="9" t="s">
        <v>291</v>
      </c>
      <c r="C2371" s="4">
        <v>201004909</v>
      </c>
      <c r="D2371" s="4" t="s">
        <v>1124</v>
      </c>
      <c r="E2371" s="4" t="str">
        <f>"102212010"</f>
        <v>102212010</v>
      </c>
      <c r="F2371" s="10">
        <v>40409</v>
      </c>
      <c r="G2371" s="11">
        <v>400</v>
      </c>
      <c r="H2371" s="11">
        <v>0</v>
      </c>
      <c r="I2371" s="4"/>
      <c r="J2371" s="4"/>
      <c r="K2371" s="11">
        <v>0</v>
      </c>
      <c r="L2371" s="4"/>
      <c r="M2371" s="4"/>
      <c r="N2371" s="11">
        <v>400</v>
      </c>
      <c r="O2371" s="4" t="s">
        <v>56</v>
      </c>
      <c r="P2371" s="4" t="s">
        <v>57</v>
      </c>
      <c r="Q2371" s="11">
        <v>0</v>
      </c>
      <c r="R2371" s="4"/>
      <c r="S2371" s="12"/>
    </row>
    <row r="2372" spans="1:19" x14ac:dyDescent="0.25">
      <c r="A2372" s="9" t="s">
        <v>1117</v>
      </c>
      <c r="B2372" s="9" t="s">
        <v>291</v>
      </c>
      <c r="C2372" s="4">
        <v>201004910</v>
      </c>
      <c r="D2372" s="4" t="s">
        <v>1628</v>
      </c>
      <c r="E2372" s="4" t="str">
        <f>"103132010"</f>
        <v>103132010</v>
      </c>
      <c r="F2372" s="10">
        <v>40409</v>
      </c>
      <c r="G2372" s="11">
        <v>455</v>
      </c>
      <c r="H2372" s="11">
        <v>0</v>
      </c>
      <c r="I2372" s="4"/>
      <c r="J2372" s="4"/>
      <c r="K2372" s="11">
        <v>0</v>
      </c>
      <c r="L2372" s="4"/>
      <c r="M2372" s="4"/>
      <c r="N2372" s="11">
        <v>455</v>
      </c>
      <c r="O2372" s="4" t="s">
        <v>56</v>
      </c>
      <c r="P2372" s="4" t="s">
        <v>57</v>
      </c>
      <c r="Q2372" s="11">
        <v>0</v>
      </c>
      <c r="R2372" s="4"/>
      <c r="S2372" s="12"/>
    </row>
    <row r="2373" spans="1:19" x14ac:dyDescent="0.25">
      <c r="A2373" s="9" t="s">
        <v>1117</v>
      </c>
      <c r="B2373" s="9" t="s">
        <v>291</v>
      </c>
      <c r="C2373" s="4">
        <v>201004918</v>
      </c>
      <c r="D2373" s="4" t="s">
        <v>1527</v>
      </c>
      <c r="E2373" s="4" t="str">
        <f>"098602010"</f>
        <v>098602010</v>
      </c>
      <c r="F2373" s="10">
        <v>40394</v>
      </c>
      <c r="G2373" s="11">
        <v>353</v>
      </c>
      <c r="H2373" s="11">
        <v>0</v>
      </c>
      <c r="I2373" s="4"/>
      <c r="J2373" s="4"/>
      <c r="K2373" s="11">
        <v>0</v>
      </c>
      <c r="L2373" s="4"/>
      <c r="M2373" s="4"/>
      <c r="N2373" s="11">
        <v>353</v>
      </c>
      <c r="O2373" s="4" t="s">
        <v>56</v>
      </c>
      <c r="P2373" s="4" t="s">
        <v>57</v>
      </c>
      <c r="Q2373" s="11">
        <v>0</v>
      </c>
      <c r="R2373" s="4"/>
      <c r="S2373" s="12"/>
    </row>
    <row r="2374" spans="1:19" x14ac:dyDescent="0.25">
      <c r="A2374" s="9" t="s">
        <v>1117</v>
      </c>
      <c r="B2374" s="9" t="s">
        <v>291</v>
      </c>
      <c r="C2374" s="4">
        <v>201004919</v>
      </c>
      <c r="D2374" s="4" t="s">
        <v>1488</v>
      </c>
      <c r="E2374" s="4" t="str">
        <f>"098662010"</f>
        <v>098662010</v>
      </c>
      <c r="F2374" s="10">
        <v>40394</v>
      </c>
      <c r="G2374" s="11">
        <v>66.5</v>
      </c>
      <c r="H2374" s="11">
        <v>0</v>
      </c>
      <c r="I2374" s="4"/>
      <c r="J2374" s="4"/>
      <c r="K2374" s="11">
        <v>0</v>
      </c>
      <c r="L2374" s="4"/>
      <c r="M2374" s="4"/>
      <c r="N2374" s="11">
        <v>66.5</v>
      </c>
      <c r="O2374" s="4" t="s">
        <v>56</v>
      </c>
      <c r="P2374" s="4" t="s">
        <v>57</v>
      </c>
      <c r="Q2374" s="11">
        <v>0</v>
      </c>
      <c r="R2374" s="4"/>
      <c r="S2374" s="12"/>
    </row>
    <row r="2375" spans="1:19" x14ac:dyDescent="0.25">
      <c r="A2375" s="9" t="s">
        <v>1117</v>
      </c>
      <c r="B2375" s="9" t="s">
        <v>291</v>
      </c>
      <c r="C2375" s="4">
        <v>201004925</v>
      </c>
      <c r="D2375" s="4" t="s">
        <v>1421</v>
      </c>
      <c r="E2375" s="4" t="str">
        <f>"098482010"</f>
        <v>098482010</v>
      </c>
      <c r="F2375" s="10">
        <v>40394</v>
      </c>
      <c r="G2375" s="11">
        <v>350</v>
      </c>
      <c r="H2375" s="11">
        <v>0</v>
      </c>
      <c r="I2375" s="4"/>
      <c r="J2375" s="4"/>
      <c r="K2375" s="11">
        <v>0</v>
      </c>
      <c r="L2375" s="4"/>
      <c r="M2375" s="4"/>
      <c r="N2375" s="11">
        <v>350</v>
      </c>
      <c r="O2375" s="4" t="s">
        <v>56</v>
      </c>
      <c r="P2375" s="4" t="s">
        <v>57</v>
      </c>
      <c r="Q2375" s="11">
        <v>0</v>
      </c>
      <c r="R2375" s="4"/>
      <c r="S2375" s="12"/>
    </row>
    <row r="2376" spans="1:19" x14ac:dyDescent="0.25">
      <c r="A2376" s="9" t="s">
        <v>1117</v>
      </c>
      <c r="B2376" s="9" t="s">
        <v>291</v>
      </c>
      <c r="C2376" s="4">
        <v>201004940</v>
      </c>
      <c r="D2376" s="4" t="s">
        <v>1197</v>
      </c>
      <c r="E2376" s="4" t="str">
        <f>"099852010"</f>
        <v>099852010</v>
      </c>
      <c r="F2376" s="10">
        <v>40401</v>
      </c>
      <c r="G2376" s="11">
        <v>350</v>
      </c>
      <c r="H2376" s="11">
        <v>0</v>
      </c>
      <c r="I2376" s="4"/>
      <c r="J2376" s="4"/>
      <c r="K2376" s="11">
        <v>0</v>
      </c>
      <c r="L2376" s="4"/>
      <c r="M2376" s="4"/>
      <c r="N2376" s="11">
        <v>350</v>
      </c>
      <c r="O2376" s="4" t="s">
        <v>56</v>
      </c>
      <c r="P2376" s="4" t="s">
        <v>57</v>
      </c>
      <c r="Q2376" s="11">
        <v>0</v>
      </c>
      <c r="R2376" s="4"/>
      <c r="S2376" s="12"/>
    </row>
    <row r="2377" spans="1:19" x14ac:dyDescent="0.25">
      <c r="A2377" s="9" t="s">
        <v>1117</v>
      </c>
      <c r="B2377" s="9" t="s">
        <v>291</v>
      </c>
      <c r="C2377" s="4">
        <v>201004948</v>
      </c>
      <c r="D2377" s="4" t="s">
        <v>1629</v>
      </c>
      <c r="E2377" s="4" t="str">
        <f>"098312010"</f>
        <v>098312010</v>
      </c>
      <c r="F2377" s="10">
        <v>40394</v>
      </c>
      <c r="G2377" s="11">
        <v>350</v>
      </c>
      <c r="H2377" s="11">
        <v>0</v>
      </c>
      <c r="I2377" s="4"/>
      <c r="J2377" s="4"/>
      <c r="K2377" s="11">
        <v>0</v>
      </c>
      <c r="L2377" s="4"/>
      <c r="M2377" s="4"/>
      <c r="N2377" s="11">
        <v>350</v>
      </c>
      <c r="O2377" s="4" t="s">
        <v>56</v>
      </c>
      <c r="P2377" s="4" t="s">
        <v>57</v>
      </c>
      <c r="Q2377" s="11">
        <v>0</v>
      </c>
      <c r="R2377" s="4"/>
      <c r="S2377" s="12"/>
    </row>
    <row r="2378" spans="1:19" x14ac:dyDescent="0.25">
      <c r="A2378" s="9" t="s">
        <v>1117</v>
      </c>
      <c r="B2378" s="9" t="s">
        <v>291</v>
      </c>
      <c r="C2378" s="4">
        <v>201004959</v>
      </c>
      <c r="D2378" s="4" t="s">
        <v>1164</v>
      </c>
      <c r="E2378" s="4" t="str">
        <f>"099122010"</f>
        <v>099122010</v>
      </c>
      <c r="F2378" s="10">
        <v>40396</v>
      </c>
      <c r="G2378" s="11">
        <v>463.04</v>
      </c>
      <c r="H2378" s="11">
        <v>0</v>
      </c>
      <c r="I2378" s="4"/>
      <c r="J2378" s="4"/>
      <c r="K2378" s="11">
        <v>0</v>
      </c>
      <c r="L2378" s="4"/>
      <c r="M2378" s="4"/>
      <c r="N2378" s="11">
        <v>463.04</v>
      </c>
      <c r="O2378" s="4" t="s">
        <v>56</v>
      </c>
      <c r="P2378" s="4" t="s">
        <v>57</v>
      </c>
      <c r="Q2378" s="11">
        <v>0</v>
      </c>
      <c r="R2378" s="4"/>
      <c r="S2378" s="12"/>
    </row>
    <row r="2379" spans="1:19" x14ac:dyDescent="0.25">
      <c r="A2379" s="9" t="s">
        <v>1117</v>
      </c>
      <c r="B2379" s="9" t="s">
        <v>291</v>
      </c>
      <c r="C2379" s="4">
        <v>201004969</v>
      </c>
      <c r="D2379" s="4" t="s">
        <v>1630</v>
      </c>
      <c r="E2379" s="4" t="str">
        <f>"098942010"</f>
        <v>098942010</v>
      </c>
      <c r="F2379" s="10">
        <v>40396</v>
      </c>
      <c r="G2379" s="11">
        <v>350</v>
      </c>
      <c r="H2379" s="11">
        <v>0</v>
      </c>
      <c r="I2379" s="4"/>
      <c r="J2379" s="4"/>
      <c r="K2379" s="11">
        <v>0</v>
      </c>
      <c r="L2379" s="4"/>
      <c r="M2379" s="4"/>
      <c r="N2379" s="11">
        <v>350</v>
      </c>
      <c r="O2379" s="4" t="s">
        <v>56</v>
      </c>
      <c r="P2379" s="4" t="s">
        <v>57</v>
      </c>
      <c r="Q2379" s="11">
        <v>0</v>
      </c>
      <c r="R2379" s="4"/>
      <c r="S2379" s="12"/>
    </row>
    <row r="2380" spans="1:19" x14ac:dyDescent="0.25">
      <c r="A2380" s="9" t="s">
        <v>1117</v>
      </c>
      <c r="B2380" s="9" t="s">
        <v>291</v>
      </c>
      <c r="C2380" s="4">
        <v>201004989</v>
      </c>
      <c r="D2380" s="4" t="s">
        <v>1631</v>
      </c>
      <c r="E2380" s="4" t="str">
        <f>"102172010"</f>
        <v>102172010</v>
      </c>
      <c r="F2380" s="10">
        <v>40409</v>
      </c>
      <c r="G2380" s="11">
        <v>350</v>
      </c>
      <c r="H2380" s="11">
        <v>0</v>
      </c>
      <c r="I2380" s="4"/>
      <c r="J2380" s="4"/>
      <c r="K2380" s="11">
        <v>0</v>
      </c>
      <c r="L2380" s="4"/>
      <c r="M2380" s="4"/>
      <c r="N2380" s="11">
        <v>350</v>
      </c>
      <c r="O2380" s="4" t="s">
        <v>56</v>
      </c>
      <c r="P2380" s="4" t="s">
        <v>57</v>
      </c>
      <c r="Q2380" s="11">
        <v>0</v>
      </c>
      <c r="R2380" s="4"/>
      <c r="S2380" s="12"/>
    </row>
    <row r="2381" spans="1:19" x14ac:dyDescent="0.25">
      <c r="A2381" s="9" t="s">
        <v>1117</v>
      </c>
      <c r="B2381" s="9" t="s">
        <v>291</v>
      </c>
      <c r="C2381" s="4">
        <v>201004992</v>
      </c>
      <c r="D2381" s="4" t="s">
        <v>1483</v>
      </c>
      <c r="E2381" s="4" t="str">
        <f>"100192010"</f>
        <v>100192010</v>
      </c>
      <c r="F2381" s="10">
        <v>40402</v>
      </c>
      <c r="G2381" s="11">
        <v>350</v>
      </c>
      <c r="H2381" s="11">
        <v>0</v>
      </c>
      <c r="I2381" s="4"/>
      <c r="J2381" s="4"/>
      <c r="K2381" s="11">
        <v>0</v>
      </c>
      <c r="L2381" s="4"/>
      <c r="M2381" s="4"/>
      <c r="N2381" s="11">
        <v>350</v>
      </c>
      <c r="O2381" s="4" t="s">
        <v>56</v>
      </c>
      <c r="P2381" s="4" t="s">
        <v>57</v>
      </c>
      <c r="Q2381" s="11">
        <v>0</v>
      </c>
      <c r="R2381" s="4"/>
      <c r="S2381" s="12"/>
    </row>
    <row r="2382" spans="1:19" x14ac:dyDescent="0.25">
      <c r="A2382" s="9" t="s">
        <v>1117</v>
      </c>
      <c r="B2382" s="9" t="s">
        <v>291</v>
      </c>
      <c r="C2382" s="4">
        <v>201004993</v>
      </c>
      <c r="D2382" s="4" t="s">
        <v>1334</v>
      </c>
      <c r="E2382" s="4" t="str">
        <f>"100142010"</f>
        <v>100142010</v>
      </c>
      <c r="F2382" s="10">
        <v>40401</v>
      </c>
      <c r="G2382" s="11">
        <v>383</v>
      </c>
      <c r="H2382" s="11">
        <v>0</v>
      </c>
      <c r="I2382" s="4"/>
      <c r="J2382" s="4"/>
      <c r="K2382" s="11">
        <v>0</v>
      </c>
      <c r="L2382" s="4"/>
      <c r="M2382" s="4"/>
      <c r="N2382" s="11">
        <v>383</v>
      </c>
      <c r="O2382" s="4" t="s">
        <v>56</v>
      </c>
      <c r="P2382" s="4" t="s">
        <v>57</v>
      </c>
      <c r="Q2382" s="11">
        <v>0</v>
      </c>
      <c r="R2382" s="4"/>
      <c r="S2382" s="12"/>
    </row>
    <row r="2383" spans="1:19" x14ac:dyDescent="0.25">
      <c r="A2383" s="9" t="s">
        <v>1117</v>
      </c>
      <c r="B2383" s="9" t="s">
        <v>291</v>
      </c>
      <c r="C2383" s="4">
        <v>201005002</v>
      </c>
      <c r="D2383" s="4" t="s">
        <v>1483</v>
      </c>
      <c r="E2383" s="4" t="str">
        <f>"100232010"</f>
        <v>100232010</v>
      </c>
      <c r="F2383" s="10">
        <v>40402</v>
      </c>
      <c r="G2383" s="11">
        <v>350</v>
      </c>
      <c r="H2383" s="11">
        <v>0</v>
      </c>
      <c r="I2383" s="4"/>
      <c r="J2383" s="4"/>
      <c r="K2383" s="11">
        <v>0</v>
      </c>
      <c r="L2383" s="4"/>
      <c r="M2383" s="4"/>
      <c r="N2383" s="11">
        <v>350</v>
      </c>
      <c r="O2383" s="4" t="s">
        <v>56</v>
      </c>
      <c r="P2383" s="4" t="s">
        <v>57</v>
      </c>
      <c r="Q2383" s="11">
        <v>0</v>
      </c>
      <c r="R2383" s="4"/>
      <c r="S2383" s="12"/>
    </row>
    <row r="2384" spans="1:19" x14ac:dyDescent="0.25">
      <c r="A2384" s="9" t="s">
        <v>1117</v>
      </c>
      <c r="B2384" s="9" t="s">
        <v>291</v>
      </c>
      <c r="C2384" s="4">
        <v>201005013</v>
      </c>
      <c r="D2384" s="4" t="s">
        <v>1632</v>
      </c>
      <c r="E2384" s="4" t="str">
        <f>"100612010"</f>
        <v>100612010</v>
      </c>
      <c r="F2384" s="10">
        <v>40403</v>
      </c>
      <c r="G2384" s="11">
        <v>16.62</v>
      </c>
      <c r="H2384" s="11">
        <v>0</v>
      </c>
      <c r="I2384" s="4"/>
      <c r="J2384" s="4"/>
      <c r="K2384" s="11">
        <v>0</v>
      </c>
      <c r="L2384" s="4"/>
      <c r="M2384" s="4"/>
      <c r="N2384" s="11">
        <v>16.62</v>
      </c>
      <c r="O2384" s="4" t="s">
        <v>56</v>
      </c>
      <c r="P2384" s="4" t="s">
        <v>57</v>
      </c>
      <c r="Q2384" s="11">
        <v>0</v>
      </c>
      <c r="R2384" s="4"/>
      <c r="S2384" s="12"/>
    </row>
    <row r="2385" spans="1:19" x14ac:dyDescent="0.25">
      <c r="A2385" s="9" t="s">
        <v>1117</v>
      </c>
      <c r="B2385" s="9" t="s">
        <v>291</v>
      </c>
      <c r="C2385" s="4">
        <v>201005029</v>
      </c>
      <c r="D2385" s="4" t="s">
        <v>1318</v>
      </c>
      <c r="E2385" s="4" t="str">
        <f>"101052010"</f>
        <v>101052010</v>
      </c>
      <c r="F2385" s="10">
        <v>40407</v>
      </c>
      <c r="G2385" s="11">
        <v>350</v>
      </c>
      <c r="H2385" s="11">
        <v>0</v>
      </c>
      <c r="I2385" s="4"/>
      <c r="J2385" s="4"/>
      <c r="K2385" s="11">
        <v>0</v>
      </c>
      <c r="L2385" s="4"/>
      <c r="M2385" s="4"/>
      <c r="N2385" s="11">
        <v>350</v>
      </c>
      <c r="O2385" s="4" t="s">
        <v>56</v>
      </c>
      <c r="P2385" s="4" t="s">
        <v>57</v>
      </c>
      <c r="Q2385" s="11">
        <v>0</v>
      </c>
      <c r="R2385" s="4"/>
      <c r="S2385" s="12"/>
    </row>
    <row r="2386" spans="1:19" x14ac:dyDescent="0.25">
      <c r="A2386" s="9" t="s">
        <v>1117</v>
      </c>
      <c r="B2386" s="9" t="s">
        <v>291</v>
      </c>
      <c r="C2386" s="4">
        <v>201005038</v>
      </c>
      <c r="D2386" s="4" t="s">
        <v>1197</v>
      </c>
      <c r="E2386" s="4" t="str">
        <f>"101592010"</f>
        <v>101592010</v>
      </c>
      <c r="F2386" s="10">
        <v>40408</v>
      </c>
      <c r="G2386" s="11">
        <v>350</v>
      </c>
      <c r="H2386" s="11">
        <v>0</v>
      </c>
      <c r="I2386" s="4"/>
      <c r="J2386" s="4"/>
      <c r="K2386" s="11">
        <v>0</v>
      </c>
      <c r="L2386" s="4"/>
      <c r="M2386" s="4"/>
      <c r="N2386" s="11">
        <v>350</v>
      </c>
      <c r="O2386" s="4" t="s">
        <v>56</v>
      </c>
      <c r="P2386" s="4" t="s">
        <v>57</v>
      </c>
      <c r="Q2386" s="11">
        <v>0</v>
      </c>
      <c r="R2386" s="4"/>
      <c r="S2386" s="12"/>
    </row>
    <row r="2387" spans="1:19" x14ac:dyDescent="0.25">
      <c r="A2387" s="9" t="s">
        <v>1117</v>
      </c>
      <c r="B2387" s="9" t="s">
        <v>291</v>
      </c>
      <c r="C2387" s="4">
        <v>201005046</v>
      </c>
      <c r="D2387" s="4" t="s">
        <v>1155</v>
      </c>
      <c r="E2387" s="4" t="str">
        <f>"111692010"</f>
        <v>111692010</v>
      </c>
      <c r="F2387" s="10">
        <v>40443</v>
      </c>
      <c r="G2387" s="11">
        <v>350</v>
      </c>
      <c r="H2387" s="11">
        <v>0</v>
      </c>
      <c r="I2387" s="4"/>
      <c r="J2387" s="4"/>
      <c r="K2387" s="11">
        <v>0</v>
      </c>
      <c r="L2387" s="4"/>
      <c r="M2387" s="4"/>
      <c r="N2387" s="11">
        <v>350</v>
      </c>
      <c r="O2387" s="4" t="s">
        <v>56</v>
      </c>
      <c r="P2387" s="4" t="s">
        <v>57</v>
      </c>
      <c r="Q2387" s="11">
        <v>0</v>
      </c>
      <c r="R2387" s="4"/>
      <c r="S2387" s="12"/>
    </row>
    <row r="2388" spans="1:19" x14ac:dyDescent="0.25">
      <c r="A2388" s="9" t="s">
        <v>1117</v>
      </c>
      <c r="B2388" s="9" t="s">
        <v>291</v>
      </c>
      <c r="C2388" s="4">
        <v>201005055</v>
      </c>
      <c r="D2388" s="4" t="s">
        <v>1633</v>
      </c>
      <c r="E2388" s="4" t="str">
        <f>"102632010"</f>
        <v>102632010</v>
      </c>
      <c r="F2388" s="10">
        <v>40409</v>
      </c>
      <c r="G2388" s="11">
        <v>805</v>
      </c>
      <c r="H2388" s="11">
        <v>0</v>
      </c>
      <c r="I2388" s="4"/>
      <c r="J2388" s="4"/>
      <c r="K2388" s="11">
        <v>0</v>
      </c>
      <c r="L2388" s="4"/>
      <c r="M2388" s="4"/>
      <c r="N2388" s="11">
        <v>805</v>
      </c>
      <c r="O2388" s="4" t="s">
        <v>56</v>
      </c>
      <c r="P2388" s="4" t="s">
        <v>57</v>
      </c>
      <c r="Q2388" s="11">
        <v>0</v>
      </c>
      <c r="R2388" s="4"/>
      <c r="S2388" s="12"/>
    </row>
    <row r="2389" spans="1:19" x14ac:dyDescent="0.25">
      <c r="A2389" s="9" t="s">
        <v>1117</v>
      </c>
      <c r="B2389" s="9" t="s">
        <v>291</v>
      </c>
      <c r="C2389" s="4">
        <v>201005059</v>
      </c>
      <c r="D2389" s="4" t="s">
        <v>1634</v>
      </c>
      <c r="E2389" s="4" t="str">
        <f>"101112010"</f>
        <v>101112010</v>
      </c>
      <c r="F2389" s="10">
        <v>40407</v>
      </c>
      <c r="G2389" s="11">
        <v>70.81</v>
      </c>
      <c r="H2389" s="11">
        <v>0</v>
      </c>
      <c r="I2389" s="4"/>
      <c r="J2389" s="4"/>
      <c r="K2389" s="11">
        <v>0</v>
      </c>
      <c r="L2389" s="4"/>
      <c r="M2389" s="4"/>
      <c r="N2389" s="11">
        <v>70.81</v>
      </c>
      <c r="O2389" s="4" t="s">
        <v>56</v>
      </c>
      <c r="P2389" s="4" t="s">
        <v>57</v>
      </c>
      <c r="Q2389" s="11">
        <v>0</v>
      </c>
      <c r="R2389" s="4"/>
      <c r="S2389" s="12"/>
    </row>
    <row r="2390" spans="1:19" x14ac:dyDescent="0.25">
      <c r="A2390" s="9" t="s">
        <v>1117</v>
      </c>
      <c r="B2390" s="9" t="s">
        <v>291</v>
      </c>
      <c r="C2390" s="4">
        <v>201005070</v>
      </c>
      <c r="D2390" s="4" t="s">
        <v>1635</v>
      </c>
      <c r="E2390" s="4" t="str">
        <f>"100332010"</f>
        <v>100332010</v>
      </c>
      <c r="F2390" s="10">
        <v>40402</v>
      </c>
      <c r="G2390" s="11">
        <v>350</v>
      </c>
      <c r="H2390" s="11">
        <v>0</v>
      </c>
      <c r="I2390" s="4"/>
      <c r="J2390" s="4"/>
      <c r="K2390" s="11">
        <v>0</v>
      </c>
      <c r="L2390" s="4"/>
      <c r="M2390" s="4"/>
      <c r="N2390" s="11">
        <v>350</v>
      </c>
      <c r="O2390" s="4" t="s">
        <v>56</v>
      </c>
      <c r="P2390" s="4" t="s">
        <v>57</v>
      </c>
      <c r="Q2390" s="11">
        <v>0</v>
      </c>
      <c r="R2390" s="4"/>
      <c r="S2390" s="12"/>
    </row>
    <row r="2391" spans="1:19" x14ac:dyDescent="0.25">
      <c r="A2391" s="9" t="s">
        <v>1117</v>
      </c>
      <c r="B2391" s="9" t="s">
        <v>1117</v>
      </c>
      <c r="C2391" s="4">
        <v>201005090</v>
      </c>
      <c r="D2391" s="4" t="s">
        <v>1636</v>
      </c>
      <c r="E2391" s="4" t="str">
        <f>"100272010"</f>
        <v>100272010</v>
      </c>
      <c r="F2391" s="10">
        <v>40402</v>
      </c>
      <c r="G2391" s="11">
        <v>350</v>
      </c>
      <c r="H2391" s="11">
        <v>0</v>
      </c>
      <c r="I2391" s="4"/>
      <c r="J2391" s="4"/>
      <c r="K2391" s="11">
        <v>0</v>
      </c>
      <c r="L2391" s="4"/>
      <c r="M2391" s="4"/>
      <c r="N2391" s="11">
        <v>350</v>
      </c>
      <c r="O2391" s="4" t="s">
        <v>56</v>
      </c>
      <c r="P2391" s="4" t="s">
        <v>57</v>
      </c>
      <c r="Q2391" s="11">
        <v>0</v>
      </c>
      <c r="R2391" s="4"/>
      <c r="S2391" s="12"/>
    </row>
    <row r="2392" spans="1:19" x14ac:dyDescent="0.25">
      <c r="A2392" s="9" t="s">
        <v>1117</v>
      </c>
      <c r="B2392" s="9" t="s">
        <v>291</v>
      </c>
      <c r="C2392" s="4">
        <v>201005115</v>
      </c>
      <c r="D2392" s="4" t="s">
        <v>1483</v>
      </c>
      <c r="E2392" s="4" t="str">
        <f>"102092010"</f>
        <v>102092010</v>
      </c>
      <c r="F2392" s="10">
        <v>40408</v>
      </c>
      <c r="G2392" s="11">
        <v>350</v>
      </c>
      <c r="H2392" s="11">
        <v>0</v>
      </c>
      <c r="I2392" s="4"/>
      <c r="J2392" s="4"/>
      <c r="K2392" s="11">
        <v>0</v>
      </c>
      <c r="L2392" s="4"/>
      <c r="M2392" s="4"/>
      <c r="N2392" s="11">
        <v>350</v>
      </c>
      <c r="O2392" s="4" t="s">
        <v>56</v>
      </c>
      <c r="P2392" s="4" t="s">
        <v>57</v>
      </c>
      <c r="Q2392" s="11">
        <v>0</v>
      </c>
      <c r="R2392" s="4"/>
      <c r="S2392" s="12"/>
    </row>
    <row r="2393" spans="1:19" x14ac:dyDescent="0.25">
      <c r="A2393" s="9" t="s">
        <v>1117</v>
      </c>
      <c r="B2393" s="9" t="s">
        <v>1117</v>
      </c>
      <c r="C2393" s="4">
        <v>201005116</v>
      </c>
      <c r="D2393" s="4" t="s">
        <v>1637</v>
      </c>
      <c r="E2393" s="4" t="str">
        <f>"102112010"</f>
        <v>102112010</v>
      </c>
      <c r="F2393" s="10">
        <v>40409</v>
      </c>
      <c r="G2393" s="11">
        <v>370</v>
      </c>
      <c r="H2393" s="11">
        <v>0</v>
      </c>
      <c r="I2393" s="4"/>
      <c r="J2393" s="4"/>
      <c r="K2393" s="11">
        <v>0</v>
      </c>
      <c r="L2393" s="4"/>
      <c r="M2393" s="4"/>
      <c r="N2393" s="11">
        <v>370</v>
      </c>
      <c r="O2393" s="4" t="s">
        <v>56</v>
      </c>
      <c r="P2393" s="4" t="s">
        <v>57</v>
      </c>
      <c r="Q2393" s="11">
        <v>0</v>
      </c>
      <c r="R2393" s="4"/>
      <c r="S2393" s="12"/>
    </row>
    <row r="2394" spans="1:19" x14ac:dyDescent="0.25">
      <c r="A2394" s="9" t="s">
        <v>1117</v>
      </c>
      <c r="B2394" s="9" t="s">
        <v>1117</v>
      </c>
      <c r="C2394" s="4">
        <v>201005117</v>
      </c>
      <c r="D2394" s="4" t="s">
        <v>1638</v>
      </c>
      <c r="E2394" s="4" t="str">
        <f>"106782010"</f>
        <v>106782010</v>
      </c>
      <c r="F2394" s="10">
        <v>40417</v>
      </c>
      <c r="G2394" s="11">
        <v>18.97</v>
      </c>
      <c r="H2394" s="11">
        <v>0</v>
      </c>
      <c r="I2394" s="4"/>
      <c r="J2394" s="4"/>
      <c r="K2394" s="11">
        <v>0</v>
      </c>
      <c r="L2394" s="4"/>
      <c r="M2394" s="4"/>
      <c r="N2394" s="11">
        <v>18.97</v>
      </c>
      <c r="O2394" s="4" t="s">
        <v>56</v>
      </c>
      <c r="P2394" s="4" t="s">
        <v>57</v>
      </c>
      <c r="Q2394" s="11">
        <v>0</v>
      </c>
      <c r="R2394" s="4"/>
      <c r="S2394" s="12"/>
    </row>
    <row r="2395" spans="1:19" x14ac:dyDescent="0.25">
      <c r="A2395" s="9" t="s">
        <v>1117</v>
      </c>
      <c r="B2395" s="9" t="s">
        <v>1117</v>
      </c>
      <c r="C2395" s="4">
        <v>201005118</v>
      </c>
      <c r="D2395" s="4" t="s">
        <v>1638</v>
      </c>
      <c r="E2395" s="4" t="str">
        <f>"102252010"</f>
        <v>102252010</v>
      </c>
      <c r="F2395" s="10">
        <v>40409</v>
      </c>
      <c r="G2395" s="11">
        <v>350</v>
      </c>
      <c r="H2395" s="11">
        <v>0</v>
      </c>
      <c r="I2395" s="4"/>
      <c r="J2395" s="4"/>
      <c r="K2395" s="11">
        <v>0</v>
      </c>
      <c r="L2395" s="4"/>
      <c r="M2395" s="4"/>
      <c r="N2395" s="11">
        <v>350</v>
      </c>
      <c r="O2395" s="4" t="s">
        <v>56</v>
      </c>
      <c r="P2395" s="4" t="s">
        <v>57</v>
      </c>
      <c r="Q2395" s="11">
        <v>0</v>
      </c>
      <c r="R2395" s="4"/>
      <c r="S2395" s="12"/>
    </row>
    <row r="2396" spans="1:19" x14ac:dyDescent="0.25">
      <c r="A2396" s="9" t="s">
        <v>1117</v>
      </c>
      <c r="B2396" s="9" t="s">
        <v>1117</v>
      </c>
      <c r="C2396" s="4">
        <v>201005119</v>
      </c>
      <c r="D2396" s="4" t="s">
        <v>1145</v>
      </c>
      <c r="E2396" s="4" t="str">
        <f>"103192010"</f>
        <v>103192010</v>
      </c>
      <c r="F2396" s="10">
        <v>40409</v>
      </c>
      <c r="G2396" s="11">
        <v>350</v>
      </c>
      <c r="H2396" s="11">
        <v>0</v>
      </c>
      <c r="I2396" s="4"/>
      <c r="J2396" s="4"/>
      <c r="K2396" s="11">
        <v>0</v>
      </c>
      <c r="L2396" s="4"/>
      <c r="M2396" s="4"/>
      <c r="N2396" s="11">
        <v>350</v>
      </c>
      <c r="O2396" s="4" t="s">
        <v>56</v>
      </c>
      <c r="P2396" s="4" t="s">
        <v>57</v>
      </c>
      <c r="Q2396" s="11">
        <v>0</v>
      </c>
      <c r="R2396" s="4"/>
      <c r="S2396" s="12"/>
    </row>
    <row r="2397" spans="1:19" x14ac:dyDescent="0.25">
      <c r="A2397" s="9" t="s">
        <v>1117</v>
      </c>
      <c r="B2397" s="9" t="s">
        <v>1117</v>
      </c>
      <c r="C2397" s="4">
        <v>201005120</v>
      </c>
      <c r="D2397" s="4" t="s">
        <v>1145</v>
      </c>
      <c r="E2397" s="4" t="str">
        <f>"102292010"</f>
        <v>102292010</v>
      </c>
      <c r="F2397" s="10">
        <v>40409</v>
      </c>
      <c r="G2397" s="11">
        <v>350</v>
      </c>
      <c r="H2397" s="11">
        <v>0</v>
      </c>
      <c r="I2397" s="4"/>
      <c r="J2397" s="4"/>
      <c r="K2397" s="11">
        <v>0</v>
      </c>
      <c r="L2397" s="4"/>
      <c r="M2397" s="4"/>
      <c r="N2397" s="11">
        <v>350</v>
      </c>
      <c r="O2397" s="4" t="s">
        <v>56</v>
      </c>
      <c r="P2397" s="4" t="s">
        <v>57</v>
      </c>
      <c r="Q2397" s="11">
        <v>0</v>
      </c>
      <c r="R2397" s="4"/>
      <c r="S2397" s="12"/>
    </row>
    <row r="2398" spans="1:19" x14ac:dyDescent="0.25">
      <c r="A2398" s="9" t="s">
        <v>1117</v>
      </c>
      <c r="B2398" s="9" t="s">
        <v>291</v>
      </c>
      <c r="C2398" s="4">
        <v>201005121</v>
      </c>
      <c r="D2398" s="4" t="s">
        <v>1129</v>
      </c>
      <c r="E2398" s="4" t="str">
        <f>"108572010"</f>
        <v>108572010</v>
      </c>
      <c r="F2398" s="10">
        <v>40424</v>
      </c>
      <c r="G2398" s="11">
        <v>350</v>
      </c>
      <c r="H2398" s="11">
        <v>0</v>
      </c>
      <c r="I2398" s="4"/>
      <c r="J2398" s="4"/>
      <c r="K2398" s="11">
        <v>0</v>
      </c>
      <c r="L2398" s="4"/>
      <c r="M2398" s="4"/>
      <c r="N2398" s="11">
        <v>350</v>
      </c>
      <c r="O2398" s="4" t="s">
        <v>56</v>
      </c>
      <c r="P2398" s="4" t="s">
        <v>57</v>
      </c>
      <c r="Q2398" s="11">
        <v>0</v>
      </c>
      <c r="R2398" s="4"/>
      <c r="S2398" s="12"/>
    </row>
    <row r="2399" spans="1:19" x14ac:dyDescent="0.25">
      <c r="A2399" s="9" t="s">
        <v>1117</v>
      </c>
      <c r="B2399" s="9" t="s">
        <v>291</v>
      </c>
      <c r="C2399" s="4">
        <v>201005123</v>
      </c>
      <c r="D2399" s="4" t="s">
        <v>1566</v>
      </c>
      <c r="E2399" s="4" t="str">
        <f>"103052010"</f>
        <v>103052010</v>
      </c>
      <c r="F2399" s="10">
        <v>40409</v>
      </c>
      <c r="G2399" s="11">
        <v>102.9</v>
      </c>
      <c r="H2399" s="11">
        <v>0</v>
      </c>
      <c r="I2399" s="4"/>
      <c r="J2399" s="4"/>
      <c r="K2399" s="11">
        <v>0</v>
      </c>
      <c r="L2399" s="4"/>
      <c r="M2399" s="4"/>
      <c r="N2399" s="11">
        <v>102.9</v>
      </c>
      <c r="O2399" s="4" t="s">
        <v>56</v>
      </c>
      <c r="P2399" s="4" t="s">
        <v>57</v>
      </c>
      <c r="Q2399" s="11">
        <v>0</v>
      </c>
      <c r="R2399" s="4"/>
      <c r="S2399" s="12"/>
    </row>
    <row r="2400" spans="1:19" x14ac:dyDescent="0.25">
      <c r="A2400" s="9" t="s">
        <v>1117</v>
      </c>
      <c r="B2400" s="9" t="s">
        <v>291</v>
      </c>
      <c r="C2400" s="4">
        <v>201005124</v>
      </c>
      <c r="D2400" s="4" t="s">
        <v>1639</v>
      </c>
      <c r="E2400" s="4" t="str">
        <f>"108652010"</f>
        <v>108652010</v>
      </c>
      <c r="F2400" s="10">
        <v>40429</v>
      </c>
      <c r="G2400" s="11">
        <v>14.62</v>
      </c>
      <c r="H2400" s="11">
        <v>0</v>
      </c>
      <c r="I2400" s="4"/>
      <c r="J2400" s="4"/>
      <c r="K2400" s="11">
        <v>0</v>
      </c>
      <c r="L2400" s="4"/>
      <c r="M2400" s="4"/>
      <c r="N2400" s="11">
        <v>14.62</v>
      </c>
      <c r="O2400" s="4" t="s">
        <v>56</v>
      </c>
      <c r="P2400" s="4" t="s">
        <v>57</v>
      </c>
      <c r="Q2400" s="11">
        <v>0</v>
      </c>
      <c r="R2400" s="4"/>
      <c r="S2400" s="12"/>
    </row>
    <row r="2401" spans="1:19" x14ac:dyDescent="0.25">
      <c r="A2401" s="9" t="s">
        <v>1117</v>
      </c>
      <c r="B2401" s="9" t="s">
        <v>291</v>
      </c>
      <c r="C2401" s="4">
        <v>201005128</v>
      </c>
      <c r="D2401" s="4" t="s">
        <v>1134</v>
      </c>
      <c r="E2401" s="4" t="str">
        <f>"102412010"</f>
        <v>102412010</v>
      </c>
      <c r="F2401" s="10">
        <v>40409</v>
      </c>
      <c r="G2401" s="11">
        <v>350</v>
      </c>
      <c r="H2401" s="11">
        <v>0</v>
      </c>
      <c r="I2401" s="4"/>
      <c r="J2401" s="4"/>
      <c r="K2401" s="11">
        <v>0</v>
      </c>
      <c r="L2401" s="4"/>
      <c r="M2401" s="4"/>
      <c r="N2401" s="11">
        <v>350</v>
      </c>
      <c r="O2401" s="4" t="s">
        <v>56</v>
      </c>
      <c r="P2401" s="4" t="s">
        <v>57</v>
      </c>
      <c r="Q2401" s="11">
        <v>0</v>
      </c>
      <c r="R2401" s="4"/>
      <c r="S2401" s="12"/>
    </row>
    <row r="2402" spans="1:19" x14ac:dyDescent="0.25">
      <c r="A2402" s="9" t="s">
        <v>1117</v>
      </c>
      <c r="B2402" s="9" t="s">
        <v>291</v>
      </c>
      <c r="C2402" s="4">
        <v>201005129</v>
      </c>
      <c r="D2402" s="4" t="s">
        <v>1369</v>
      </c>
      <c r="E2402" s="4" t="str">
        <f>"102332010"</f>
        <v>102332010</v>
      </c>
      <c r="F2402" s="10">
        <v>40409</v>
      </c>
      <c r="G2402" s="11">
        <v>7</v>
      </c>
      <c r="H2402" s="11">
        <v>0</v>
      </c>
      <c r="I2402" s="4"/>
      <c r="J2402" s="4"/>
      <c r="K2402" s="11">
        <v>0</v>
      </c>
      <c r="L2402" s="4"/>
      <c r="M2402" s="4"/>
      <c r="N2402" s="11">
        <v>7</v>
      </c>
      <c r="O2402" s="4" t="s">
        <v>56</v>
      </c>
      <c r="P2402" s="4" t="s">
        <v>57</v>
      </c>
      <c r="Q2402" s="11">
        <v>0</v>
      </c>
      <c r="R2402" s="4"/>
      <c r="S2402" s="12"/>
    </row>
    <row r="2403" spans="1:19" x14ac:dyDescent="0.25">
      <c r="A2403" s="9" t="s">
        <v>1117</v>
      </c>
      <c r="B2403" s="9" t="s">
        <v>291</v>
      </c>
      <c r="C2403" s="4">
        <v>201005135</v>
      </c>
      <c r="D2403" s="4" t="s">
        <v>1640</v>
      </c>
      <c r="E2403" s="4" t="str">
        <f>"102352010"</f>
        <v>102352010</v>
      </c>
      <c r="F2403" s="10">
        <v>40409</v>
      </c>
      <c r="G2403" s="11">
        <v>350</v>
      </c>
      <c r="H2403" s="11">
        <v>0</v>
      </c>
      <c r="I2403" s="4"/>
      <c r="J2403" s="4"/>
      <c r="K2403" s="11">
        <v>0</v>
      </c>
      <c r="L2403" s="4"/>
      <c r="M2403" s="4"/>
      <c r="N2403" s="11">
        <v>350</v>
      </c>
      <c r="O2403" s="4" t="s">
        <v>56</v>
      </c>
      <c r="P2403" s="4" t="s">
        <v>57</v>
      </c>
      <c r="Q2403" s="11">
        <v>0</v>
      </c>
      <c r="R2403" s="4"/>
      <c r="S2403" s="12"/>
    </row>
    <row r="2404" spans="1:19" x14ac:dyDescent="0.25">
      <c r="A2404" s="9" t="s">
        <v>1117</v>
      </c>
      <c r="B2404" s="9" t="s">
        <v>1117</v>
      </c>
      <c r="C2404" s="4">
        <v>201005136</v>
      </c>
      <c r="D2404" s="4" t="s">
        <v>1641</v>
      </c>
      <c r="E2404" s="4" t="str">
        <f>"102592010"</f>
        <v>102592010</v>
      </c>
      <c r="F2404" s="10">
        <v>40409</v>
      </c>
      <c r="G2404" s="11">
        <v>20</v>
      </c>
      <c r="H2404" s="11">
        <v>0</v>
      </c>
      <c r="I2404" s="4"/>
      <c r="J2404" s="4"/>
      <c r="K2404" s="11">
        <v>0</v>
      </c>
      <c r="L2404" s="4"/>
      <c r="M2404" s="4"/>
      <c r="N2404" s="11">
        <v>20</v>
      </c>
      <c r="O2404" s="4" t="s">
        <v>56</v>
      </c>
      <c r="P2404" s="4" t="s">
        <v>57</v>
      </c>
      <c r="Q2404" s="11">
        <v>0</v>
      </c>
      <c r="R2404" s="4"/>
      <c r="S2404" s="12"/>
    </row>
    <row r="2405" spans="1:19" x14ac:dyDescent="0.25">
      <c r="A2405" s="9" t="s">
        <v>1117</v>
      </c>
      <c r="B2405" s="9" t="s">
        <v>291</v>
      </c>
      <c r="C2405" s="4">
        <v>201005138</v>
      </c>
      <c r="D2405" s="4" t="s">
        <v>1642</v>
      </c>
      <c r="E2405" s="4" t="str">
        <f>"103112010"</f>
        <v>103112010</v>
      </c>
      <c r="F2405" s="10">
        <v>40409</v>
      </c>
      <c r="G2405" s="11">
        <v>368.16</v>
      </c>
      <c r="H2405" s="11">
        <v>0</v>
      </c>
      <c r="I2405" s="4"/>
      <c r="J2405" s="4"/>
      <c r="K2405" s="11">
        <v>0</v>
      </c>
      <c r="L2405" s="4"/>
      <c r="M2405" s="4"/>
      <c r="N2405" s="11">
        <v>368.16</v>
      </c>
      <c r="O2405" s="4" t="s">
        <v>56</v>
      </c>
      <c r="P2405" s="4" t="s">
        <v>57</v>
      </c>
      <c r="Q2405" s="11">
        <v>0</v>
      </c>
      <c r="R2405" s="4"/>
      <c r="S2405" s="12"/>
    </row>
    <row r="2406" spans="1:19" x14ac:dyDescent="0.25">
      <c r="A2406" s="9" t="s">
        <v>1117</v>
      </c>
      <c r="B2406" s="9" t="s">
        <v>291</v>
      </c>
      <c r="C2406" s="4">
        <v>201005145</v>
      </c>
      <c r="D2406" s="4" t="s">
        <v>1566</v>
      </c>
      <c r="E2406" s="4" t="str">
        <f>"104392010"</f>
        <v>104392010</v>
      </c>
      <c r="F2406" s="10">
        <v>40413</v>
      </c>
      <c r="G2406" s="11">
        <v>546.45000000000005</v>
      </c>
      <c r="H2406" s="11">
        <v>0</v>
      </c>
      <c r="I2406" s="4"/>
      <c r="J2406" s="4"/>
      <c r="K2406" s="11">
        <v>0</v>
      </c>
      <c r="L2406" s="4"/>
      <c r="M2406" s="4"/>
      <c r="N2406" s="11">
        <v>546.45000000000005</v>
      </c>
      <c r="O2406" s="4" t="s">
        <v>56</v>
      </c>
      <c r="P2406" s="4" t="s">
        <v>57</v>
      </c>
      <c r="Q2406" s="11">
        <v>0</v>
      </c>
      <c r="R2406" s="4"/>
      <c r="S2406" s="12"/>
    </row>
    <row r="2407" spans="1:19" x14ac:dyDescent="0.25">
      <c r="A2407" s="9" t="s">
        <v>1117</v>
      </c>
      <c r="B2407" s="9" t="s">
        <v>1117</v>
      </c>
      <c r="C2407" s="4">
        <v>201005155</v>
      </c>
      <c r="D2407" s="4"/>
      <c r="E2407" s="4" t="str">
        <f>"102952010"</f>
        <v>102952010</v>
      </c>
      <c r="F2407" s="10">
        <v>40409</v>
      </c>
      <c r="G2407" s="11">
        <v>360.42</v>
      </c>
      <c r="H2407" s="11">
        <v>0</v>
      </c>
      <c r="I2407" s="4"/>
      <c r="J2407" s="4"/>
      <c r="K2407" s="11">
        <v>0</v>
      </c>
      <c r="L2407" s="4"/>
      <c r="M2407" s="4"/>
      <c r="N2407" s="11">
        <v>360.42</v>
      </c>
      <c r="O2407" s="4" t="s">
        <v>56</v>
      </c>
      <c r="P2407" s="4" t="s">
        <v>57</v>
      </c>
      <c r="Q2407" s="11">
        <v>0</v>
      </c>
      <c r="R2407" s="4"/>
      <c r="S2407" s="12"/>
    </row>
    <row r="2408" spans="1:19" x14ac:dyDescent="0.25">
      <c r="A2408" s="9" t="s">
        <v>1117</v>
      </c>
      <c r="B2408" s="9" t="s">
        <v>291</v>
      </c>
      <c r="C2408" s="4">
        <v>201005164</v>
      </c>
      <c r="D2408" s="4" t="s">
        <v>1186</v>
      </c>
      <c r="E2408" s="4" t="str">
        <f>"103072010"</f>
        <v>103072010</v>
      </c>
      <c r="F2408" s="10">
        <v>40408</v>
      </c>
      <c r="G2408" s="11">
        <v>350</v>
      </c>
      <c r="H2408" s="11">
        <v>0</v>
      </c>
      <c r="I2408" s="4"/>
      <c r="J2408" s="4"/>
      <c r="K2408" s="11">
        <v>0</v>
      </c>
      <c r="L2408" s="4"/>
      <c r="M2408" s="4"/>
      <c r="N2408" s="11">
        <v>350</v>
      </c>
      <c r="O2408" s="4" t="s">
        <v>56</v>
      </c>
      <c r="P2408" s="4" t="s">
        <v>57</v>
      </c>
      <c r="Q2408" s="11">
        <v>0</v>
      </c>
      <c r="R2408" s="4"/>
      <c r="S2408" s="12"/>
    </row>
    <row r="2409" spans="1:19" x14ac:dyDescent="0.25">
      <c r="A2409" s="9" t="s">
        <v>1117</v>
      </c>
      <c r="B2409" s="9" t="s">
        <v>1117</v>
      </c>
      <c r="C2409" s="4">
        <v>201005173</v>
      </c>
      <c r="D2409" s="4" t="s">
        <v>1643</v>
      </c>
      <c r="E2409" s="4" t="str">
        <f>"105032010"</f>
        <v>105032010</v>
      </c>
      <c r="F2409" s="10">
        <v>40415</v>
      </c>
      <c r="G2409" s="11">
        <v>350</v>
      </c>
      <c r="H2409" s="11">
        <v>0</v>
      </c>
      <c r="I2409" s="4"/>
      <c r="J2409" s="4"/>
      <c r="K2409" s="11">
        <v>0</v>
      </c>
      <c r="L2409" s="4"/>
      <c r="M2409" s="4"/>
      <c r="N2409" s="11">
        <v>350</v>
      </c>
      <c r="O2409" s="4" t="s">
        <v>56</v>
      </c>
      <c r="P2409" s="4" t="s">
        <v>57</v>
      </c>
      <c r="Q2409" s="11">
        <v>0</v>
      </c>
      <c r="R2409" s="4"/>
      <c r="S2409" s="12"/>
    </row>
    <row r="2410" spans="1:19" x14ac:dyDescent="0.25">
      <c r="A2410" s="9" t="s">
        <v>1117</v>
      </c>
      <c r="B2410" s="9" t="s">
        <v>291</v>
      </c>
      <c r="C2410" s="4">
        <v>201005177</v>
      </c>
      <c r="D2410" s="4" t="s">
        <v>1644</v>
      </c>
      <c r="E2410" s="4" t="str">
        <f>"103272010"</f>
        <v>103272010</v>
      </c>
      <c r="F2410" s="10">
        <v>40409</v>
      </c>
      <c r="G2410" s="11">
        <v>350</v>
      </c>
      <c r="H2410" s="11">
        <v>0</v>
      </c>
      <c r="I2410" s="4"/>
      <c r="J2410" s="4"/>
      <c r="K2410" s="11">
        <v>0</v>
      </c>
      <c r="L2410" s="4"/>
      <c r="M2410" s="4"/>
      <c r="N2410" s="11">
        <v>350</v>
      </c>
      <c r="O2410" s="4" t="s">
        <v>56</v>
      </c>
      <c r="P2410" s="4" t="s">
        <v>57</v>
      </c>
      <c r="Q2410" s="11">
        <v>0</v>
      </c>
      <c r="R2410" s="4"/>
      <c r="S2410" s="12"/>
    </row>
    <row r="2411" spans="1:19" x14ac:dyDescent="0.25">
      <c r="A2411" s="9" t="s">
        <v>1117</v>
      </c>
      <c r="B2411" s="9" t="s">
        <v>291</v>
      </c>
      <c r="C2411" s="4">
        <v>201005187</v>
      </c>
      <c r="D2411" s="4" t="s">
        <v>1645</v>
      </c>
      <c r="E2411" s="4" t="str">
        <f>"103452010"</f>
        <v>103452010</v>
      </c>
      <c r="F2411" s="10">
        <v>40410</v>
      </c>
      <c r="G2411" s="11">
        <v>350</v>
      </c>
      <c r="H2411" s="11">
        <v>0</v>
      </c>
      <c r="I2411" s="4"/>
      <c r="J2411" s="4"/>
      <c r="K2411" s="11">
        <v>0</v>
      </c>
      <c r="L2411" s="4"/>
      <c r="M2411" s="4"/>
      <c r="N2411" s="11">
        <v>350</v>
      </c>
      <c r="O2411" s="4" t="s">
        <v>56</v>
      </c>
      <c r="P2411" s="4" t="s">
        <v>57</v>
      </c>
      <c r="Q2411" s="11">
        <v>0</v>
      </c>
      <c r="R2411" s="4"/>
      <c r="S2411" s="12"/>
    </row>
    <row r="2412" spans="1:19" x14ac:dyDescent="0.25">
      <c r="A2412" s="9" t="s">
        <v>1117</v>
      </c>
      <c r="B2412" s="9" t="s">
        <v>291</v>
      </c>
      <c r="C2412" s="4">
        <v>201005189</v>
      </c>
      <c r="D2412" s="4" t="s">
        <v>1646</v>
      </c>
      <c r="E2412" s="4" t="str">
        <f>"104372010"</f>
        <v>104372010</v>
      </c>
      <c r="F2412" s="10">
        <v>40413</v>
      </c>
      <c r="G2412" s="11">
        <v>374</v>
      </c>
      <c r="H2412" s="11">
        <v>0</v>
      </c>
      <c r="I2412" s="4"/>
      <c r="J2412" s="4"/>
      <c r="K2412" s="11">
        <v>0</v>
      </c>
      <c r="L2412" s="4"/>
      <c r="M2412" s="4"/>
      <c r="N2412" s="11">
        <v>374</v>
      </c>
      <c r="O2412" s="4" t="s">
        <v>56</v>
      </c>
      <c r="P2412" s="4" t="s">
        <v>57</v>
      </c>
      <c r="Q2412" s="11">
        <v>0</v>
      </c>
      <c r="R2412" s="4"/>
      <c r="S2412" s="12"/>
    </row>
    <row r="2413" spans="1:19" x14ac:dyDescent="0.25">
      <c r="A2413" s="9" t="s">
        <v>1117</v>
      </c>
      <c r="B2413" s="9" t="s">
        <v>291</v>
      </c>
      <c r="C2413" s="4">
        <v>201005191</v>
      </c>
      <c r="D2413" s="4" t="s">
        <v>1647</v>
      </c>
      <c r="E2413" s="4" t="str">
        <f>"108372010"</f>
        <v>108372010</v>
      </c>
      <c r="F2413" s="10">
        <v>40424</v>
      </c>
      <c r="G2413" s="11">
        <v>350</v>
      </c>
      <c r="H2413" s="11">
        <v>0</v>
      </c>
      <c r="I2413" s="4"/>
      <c r="J2413" s="4"/>
      <c r="K2413" s="11">
        <v>0</v>
      </c>
      <c r="L2413" s="4"/>
      <c r="M2413" s="4"/>
      <c r="N2413" s="11">
        <v>350</v>
      </c>
      <c r="O2413" s="4" t="s">
        <v>56</v>
      </c>
      <c r="P2413" s="4" t="s">
        <v>57</v>
      </c>
      <c r="Q2413" s="11">
        <v>0</v>
      </c>
      <c r="R2413" s="4"/>
      <c r="S2413" s="12"/>
    </row>
    <row r="2414" spans="1:19" x14ac:dyDescent="0.25">
      <c r="A2414" s="9" t="s">
        <v>1117</v>
      </c>
      <c r="B2414" s="9" t="s">
        <v>291</v>
      </c>
      <c r="C2414" s="4">
        <v>201005213</v>
      </c>
      <c r="D2414" s="4" t="s">
        <v>1566</v>
      </c>
      <c r="E2414" s="4" t="str">
        <f>"104572010"</f>
        <v>104572010</v>
      </c>
      <c r="F2414" s="10">
        <v>40413</v>
      </c>
      <c r="G2414" s="11">
        <v>462.14</v>
      </c>
      <c r="H2414" s="11">
        <v>0</v>
      </c>
      <c r="I2414" s="4"/>
      <c r="J2414" s="4"/>
      <c r="K2414" s="11">
        <v>0</v>
      </c>
      <c r="L2414" s="4"/>
      <c r="M2414" s="4"/>
      <c r="N2414" s="11">
        <v>462.14</v>
      </c>
      <c r="O2414" s="4" t="s">
        <v>56</v>
      </c>
      <c r="P2414" s="4" t="s">
        <v>57</v>
      </c>
      <c r="Q2414" s="11">
        <v>0</v>
      </c>
      <c r="R2414" s="4"/>
      <c r="S2414" s="12"/>
    </row>
    <row r="2415" spans="1:19" x14ac:dyDescent="0.25">
      <c r="A2415" s="9" t="s">
        <v>1117</v>
      </c>
      <c r="B2415" s="9" t="s">
        <v>291</v>
      </c>
      <c r="C2415" s="4">
        <v>201005219</v>
      </c>
      <c r="D2415" s="4" t="s">
        <v>1309</v>
      </c>
      <c r="E2415" s="4" t="str">
        <f>"104092010"</f>
        <v>104092010</v>
      </c>
      <c r="F2415" s="10">
        <v>40413</v>
      </c>
      <c r="G2415" s="11">
        <v>350</v>
      </c>
      <c r="H2415" s="11">
        <v>0</v>
      </c>
      <c r="I2415" s="4"/>
      <c r="J2415" s="4"/>
      <c r="K2415" s="11">
        <v>0</v>
      </c>
      <c r="L2415" s="4"/>
      <c r="M2415" s="4"/>
      <c r="N2415" s="11">
        <v>350</v>
      </c>
      <c r="O2415" s="4" t="s">
        <v>56</v>
      </c>
      <c r="P2415" s="4" t="s">
        <v>57</v>
      </c>
      <c r="Q2415" s="11">
        <v>0</v>
      </c>
      <c r="R2415" s="4"/>
      <c r="S2415" s="12"/>
    </row>
    <row r="2416" spans="1:19" x14ac:dyDescent="0.25">
      <c r="A2416" s="9" t="s">
        <v>1117</v>
      </c>
      <c r="B2416" s="9" t="s">
        <v>291</v>
      </c>
      <c r="C2416" s="4">
        <v>201005226</v>
      </c>
      <c r="D2416" s="4" t="s">
        <v>1648</v>
      </c>
      <c r="E2416" s="4" t="str">
        <f>"104032010"</f>
        <v>104032010</v>
      </c>
      <c r="F2416" s="10">
        <v>40413</v>
      </c>
      <c r="G2416" s="11">
        <v>350</v>
      </c>
      <c r="H2416" s="11">
        <v>0</v>
      </c>
      <c r="I2416" s="4"/>
      <c r="J2416" s="4"/>
      <c r="K2416" s="11">
        <v>0</v>
      </c>
      <c r="L2416" s="4"/>
      <c r="M2416" s="4"/>
      <c r="N2416" s="11">
        <v>350</v>
      </c>
      <c r="O2416" s="4" t="s">
        <v>56</v>
      </c>
      <c r="P2416" s="4" t="s">
        <v>57</v>
      </c>
      <c r="Q2416" s="11">
        <v>0</v>
      </c>
      <c r="R2416" s="4"/>
      <c r="S2416" s="12"/>
    </row>
    <row r="2417" spans="1:19" x14ac:dyDescent="0.25">
      <c r="A2417" s="9" t="s">
        <v>1117</v>
      </c>
      <c r="B2417" s="9" t="s">
        <v>291</v>
      </c>
      <c r="C2417" s="4">
        <v>201005231</v>
      </c>
      <c r="D2417" s="4" t="s">
        <v>1649</v>
      </c>
      <c r="E2417" s="4" t="str">
        <f>"103952010"</f>
        <v>103952010</v>
      </c>
      <c r="F2417" s="10">
        <v>40410</v>
      </c>
      <c r="G2417" s="11">
        <v>24</v>
      </c>
      <c r="H2417" s="11">
        <v>0</v>
      </c>
      <c r="I2417" s="4"/>
      <c r="J2417" s="4"/>
      <c r="K2417" s="11">
        <v>0</v>
      </c>
      <c r="L2417" s="4"/>
      <c r="M2417" s="4"/>
      <c r="N2417" s="11">
        <v>24</v>
      </c>
      <c r="O2417" s="4" t="s">
        <v>56</v>
      </c>
      <c r="P2417" s="4" t="s">
        <v>57</v>
      </c>
      <c r="Q2417" s="11">
        <v>0</v>
      </c>
      <c r="R2417" s="4"/>
      <c r="S2417" s="12"/>
    </row>
    <row r="2418" spans="1:19" x14ac:dyDescent="0.25">
      <c r="A2418" s="9" t="s">
        <v>1117</v>
      </c>
      <c r="B2418" s="9" t="s">
        <v>291</v>
      </c>
      <c r="C2418" s="4">
        <v>201005240</v>
      </c>
      <c r="D2418" s="4" t="s">
        <v>1650</v>
      </c>
      <c r="E2418" s="4" t="str">
        <f>"105012010"</f>
        <v>105012010</v>
      </c>
      <c r="F2418" s="10">
        <v>40415</v>
      </c>
      <c r="G2418" s="11">
        <v>350</v>
      </c>
      <c r="H2418" s="11">
        <v>0</v>
      </c>
      <c r="I2418" s="4"/>
      <c r="J2418" s="4"/>
      <c r="K2418" s="11">
        <v>0</v>
      </c>
      <c r="L2418" s="4"/>
      <c r="M2418" s="4"/>
      <c r="N2418" s="11">
        <v>350</v>
      </c>
      <c r="O2418" s="4" t="s">
        <v>56</v>
      </c>
      <c r="P2418" s="4" t="s">
        <v>57</v>
      </c>
      <c r="Q2418" s="11">
        <v>0</v>
      </c>
      <c r="R2418" s="4"/>
      <c r="S2418" s="12"/>
    </row>
    <row r="2419" spans="1:19" x14ac:dyDescent="0.25">
      <c r="A2419" s="9" t="s">
        <v>1117</v>
      </c>
      <c r="B2419" s="9" t="s">
        <v>291</v>
      </c>
      <c r="C2419" s="4">
        <v>201005262</v>
      </c>
      <c r="D2419" s="4" t="s">
        <v>1651</v>
      </c>
      <c r="E2419" s="4" t="str">
        <f>"113122010"</f>
        <v>113122010</v>
      </c>
      <c r="F2419" s="10">
        <v>40445</v>
      </c>
      <c r="G2419" s="11">
        <v>317.72000000000003</v>
      </c>
      <c r="H2419" s="11">
        <v>0</v>
      </c>
      <c r="I2419" s="4"/>
      <c r="J2419" s="4"/>
      <c r="K2419" s="11">
        <v>0</v>
      </c>
      <c r="L2419" s="4"/>
      <c r="M2419" s="4"/>
      <c r="N2419" s="11">
        <v>317.72000000000003</v>
      </c>
      <c r="O2419" s="4" t="s">
        <v>56</v>
      </c>
      <c r="P2419" s="4" t="s">
        <v>57</v>
      </c>
      <c r="Q2419" s="11">
        <v>0</v>
      </c>
      <c r="R2419" s="4"/>
      <c r="S2419" s="12"/>
    </row>
    <row r="2420" spans="1:19" x14ac:dyDescent="0.25">
      <c r="A2420" s="9" t="s">
        <v>1117</v>
      </c>
      <c r="B2420" s="9" t="s">
        <v>291</v>
      </c>
      <c r="C2420" s="4">
        <v>201005266</v>
      </c>
      <c r="D2420" s="4" t="s">
        <v>1566</v>
      </c>
      <c r="E2420" s="4" t="str">
        <f>"112482010"</f>
        <v>112482010</v>
      </c>
      <c r="F2420" s="10">
        <v>40443</v>
      </c>
      <c r="G2420" s="11">
        <v>239.4</v>
      </c>
      <c r="H2420" s="11">
        <v>0</v>
      </c>
      <c r="I2420" s="4"/>
      <c r="J2420" s="4"/>
      <c r="K2420" s="11">
        <v>0</v>
      </c>
      <c r="L2420" s="4"/>
      <c r="M2420" s="4"/>
      <c r="N2420" s="11">
        <v>239.4</v>
      </c>
      <c r="O2420" s="4" t="s">
        <v>56</v>
      </c>
      <c r="P2420" s="4" t="s">
        <v>57</v>
      </c>
      <c r="Q2420" s="11">
        <v>0</v>
      </c>
      <c r="R2420" s="4"/>
      <c r="S2420" s="12"/>
    </row>
    <row r="2421" spans="1:19" x14ac:dyDescent="0.25">
      <c r="A2421" s="9" t="s">
        <v>1117</v>
      </c>
      <c r="B2421" s="9" t="s">
        <v>291</v>
      </c>
      <c r="C2421" s="4">
        <v>201005278</v>
      </c>
      <c r="D2421" s="4" t="s">
        <v>1173</v>
      </c>
      <c r="E2421" s="4" t="str">
        <f>"104932010"</f>
        <v>104932010</v>
      </c>
      <c r="F2421" s="10">
        <v>40415</v>
      </c>
      <c r="G2421" s="11">
        <v>350</v>
      </c>
      <c r="H2421" s="11">
        <v>0</v>
      </c>
      <c r="I2421" s="4"/>
      <c r="J2421" s="4"/>
      <c r="K2421" s="11">
        <v>0</v>
      </c>
      <c r="L2421" s="4"/>
      <c r="M2421" s="4"/>
      <c r="N2421" s="11">
        <v>350</v>
      </c>
      <c r="O2421" s="4" t="s">
        <v>56</v>
      </c>
      <c r="P2421" s="4" t="s">
        <v>57</v>
      </c>
      <c r="Q2421" s="11">
        <v>0</v>
      </c>
      <c r="R2421" s="4"/>
      <c r="S2421" s="12"/>
    </row>
    <row r="2422" spans="1:19" x14ac:dyDescent="0.25">
      <c r="A2422" s="9" t="s">
        <v>1117</v>
      </c>
      <c r="B2422" s="9" t="s">
        <v>291</v>
      </c>
      <c r="C2422" s="4">
        <v>201005288</v>
      </c>
      <c r="D2422" s="4" t="s">
        <v>1652</v>
      </c>
      <c r="E2422" s="4" t="str">
        <f>"112522010"</f>
        <v>112522010</v>
      </c>
      <c r="F2422" s="10">
        <v>40443</v>
      </c>
      <c r="G2422" s="11">
        <v>350</v>
      </c>
      <c r="H2422" s="11">
        <v>0</v>
      </c>
      <c r="I2422" s="4"/>
      <c r="J2422" s="4"/>
      <c r="K2422" s="11">
        <v>0</v>
      </c>
      <c r="L2422" s="4"/>
      <c r="M2422" s="4"/>
      <c r="N2422" s="11">
        <v>350</v>
      </c>
      <c r="O2422" s="4" t="s">
        <v>56</v>
      </c>
      <c r="P2422" s="4" t="s">
        <v>57</v>
      </c>
      <c r="Q2422" s="11">
        <v>0</v>
      </c>
      <c r="R2422" s="4"/>
      <c r="S2422" s="12"/>
    </row>
    <row r="2423" spans="1:19" x14ac:dyDescent="0.25">
      <c r="A2423" s="9" t="s">
        <v>1117</v>
      </c>
      <c r="B2423" s="9" t="s">
        <v>291</v>
      </c>
      <c r="C2423" s="4">
        <v>201005290</v>
      </c>
      <c r="D2423" s="4" t="s">
        <v>1653</v>
      </c>
      <c r="E2423" s="4" t="str">
        <f>"109952010"</f>
        <v>109952010</v>
      </c>
      <c r="F2423" s="10">
        <v>40431</v>
      </c>
      <c r="G2423" s="11">
        <v>366.62</v>
      </c>
      <c r="H2423" s="11">
        <v>0</v>
      </c>
      <c r="I2423" s="4"/>
      <c r="J2423" s="4"/>
      <c r="K2423" s="11">
        <v>0</v>
      </c>
      <c r="L2423" s="4"/>
      <c r="M2423" s="4"/>
      <c r="N2423" s="11">
        <v>366.62</v>
      </c>
      <c r="O2423" s="4" t="s">
        <v>56</v>
      </c>
      <c r="P2423" s="4" t="s">
        <v>57</v>
      </c>
      <c r="Q2423" s="11">
        <v>0</v>
      </c>
      <c r="R2423" s="4"/>
      <c r="S2423" s="12"/>
    </row>
    <row r="2424" spans="1:19" x14ac:dyDescent="0.25">
      <c r="A2424" s="9" t="s">
        <v>1117</v>
      </c>
      <c r="B2424" s="9" t="s">
        <v>291</v>
      </c>
      <c r="C2424" s="4">
        <v>201005293</v>
      </c>
      <c r="D2424" s="4" t="s">
        <v>1438</v>
      </c>
      <c r="E2424" s="4" t="str">
        <f>"109932010"</f>
        <v>109932010</v>
      </c>
      <c r="F2424" s="10">
        <v>40431</v>
      </c>
      <c r="G2424" s="11">
        <v>367.81</v>
      </c>
      <c r="H2424" s="11">
        <v>0</v>
      </c>
      <c r="I2424" s="4"/>
      <c r="J2424" s="4"/>
      <c r="K2424" s="11">
        <v>0</v>
      </c>
      <c r="L2424" s="4"/>
      <c r="M2424" s="4"/>
      <c r="N2424" s="11">
        <v>367.81</v>
      </c>
      <c r="O2424" s="4" t="s">
        <v>56</v>
      </c>
      <c r="P2424" s="4" t="s">
        <v>57</v>
      </c>
      <c r="Q2424" s="11">
        <v>0</v>
      </c>
      <c r="R2424" s="4"/>
      <c r="S2424" s="12"/>
    </row>
    <row r="2425" spans="1:19" x14ac:dyDescent="0.25">
      <c r="A2425" s="9" t="s">
        <v>1117</v>
      </c>
      <c r="B2425" s="9" t="s">
        <v>291</v>
      </c>
      <c r="C2425" s="4">
        <v>201005297</v>
      </c>
      <c r="D2425" s="4" t="s">
        <v>1654</v>
      </c>
      <c r="E2425" s="4" t="str">
        <f>"112802010"</f>
        <v>112802010</v>
      </c>
      <c r="F2425" s="10">
        <v>40443</v>
      </c>
      <c r="G2425" s="11">
        <v>350</v>
      </c>
      <c r="H2425" s="11">
        <v>0</v>
      </c>
      <c r="I2425" s="4"/>
      <c r="J2425" s="4"/>
      <c r="K2425" s="11">
        <v>0</v>
      </c>
      <c r="L2425" s="4"/>
      <c r="M2425" s="4"/>
      <c r="N2425" s="11">
        <v>350</v>
      </c>
      <c r="O2425" s="4" t="s">
        <v>56</v>
      </c>
      <c r="P2425" s="4" t="s">
        <v>57</v>
      </c>
      <c r="Q2425" s="11">
        <v>0</v>
      </c>
      <c r="R2425" s="4"/>
      <c r="S2425" s="12"/>
    </row>
    <row r="2426" spans="1:19" x14ac:dyDescent="0.25">
      <c r="A2426" s="9" t="s">
        <v>1117</v>
      </c>
      <c r="B2426" s="9" t="s">
        <v>291</v>
      </c>
      <c r="C2426" s="4">
        <v>201005305</v>
      </c>
      <c r="D2426" s="4" t="s">
        <v>1655</v>
      </c>
      <c r="E2426" s="4" t="str">
        <f>"113102010"</f>
        <v>113102010</v>
      </c>
      <c r="F2426" s="10">
        <v>40445</v>
      </c>
      <c r="G2426" s="11">
        <v>350</v>
      </c>
      <c r="H2426" s="11">
        <v>0</v>
      </c>
      <c r="I2426" s="4"/>
      <c r="J2426" s="4"/>
      <c r="K2426" s="11">
        <v>0</v>
      </c>
      <c r="L2426" s="4"/>
      <c r="M2426" s="4"/>
      <c r="N2426" s="11">
        <v>350</v>
      </c>
      <c r="O2426" s="4" t="s">
        <v>56</v>
      </c>
      <c r="P2426" s="4" t="s">
        <v>57</v>
      </c>
      <c r="Q2426" s="11">
        <v>0</v>
      </c>
      <c r="R2426" s="4"/>
      <c r="S2426" s="12"/>
    </row>
    <row r="2427" spans="1:19" x14ac:dyDescent="0.25">
      <c r="A2427" s="9" t="s">
        <v>1117</v>
      </c>
      <c r="B2427" s="9" t="s">
        <v>291</v>
      </c>
      <c r="C2427" s="4">
        <v>201005306</v>
      </c>
      <c r="D2427" s="4" t="s">
        <v>1407</v>
      </c>
      <c r="E2427" s="4" t="str">
        <f>"113082010"</f>
        <v>113082010</v>
      </c>
      <c r="F2427" s="10">
        <v>40445</v>
      </c>
      <c r="G2427" s="11">
        <v>350</v>
      </c>
      <c r="H2427" s="11">
        <v>0</v>
      </c>
      <c r="I2427" s="4"/>
      <c r="J2427" s="4"/>
      <c r="K2427" s="11">
        <v>0</v>
      </c>
      <c r="L2427" s="4"/>
      <c r="M2427" s="4"/>
      <c r="N2427" s="11">
        <v>350</v>
      </c>
      <c r="O2427" s="4" t="s">
        <v>56</v>
      </c>
      <c r="P2427" s="4" t="s">
        <v>57</v>
      </c>
      <c r="Q2427" s="11">
        <v>0</v>
      </c>
      <c r="R2427" s="4"/>
      <c r="S2427" s="12"/>
    </row>
    <row r="2428" spans="1:19" x14ac:dyDescent="0.25">
      <c r="A2428" s="9" t="s">
        <v>1117</v>
      </c>
      <c r="B2428" s="9" t="s">
        <v>291</v>
      </c>
      <c r="C2428" s="4">
        <v>201005307</v>
      </c>
      <c r="D2428" s="4" t="s">
        <v>1134</v>
      </c>
      <c r="E2428" s="4" t="str">
        <f>"112882010"</f>
        <v>112882010</v>
      </c>
      <c r="F2428" s="10">
        <v>40445</v>
      </c>
      <c r="G2428" s="11">
        <v>350</v>
      </c>
      <c r="H2428" s="11">
        <v>0</v>
      </c>
      <c r="I2428" s="4"/>
      <c r="J2428" s="4"/>
      <c r="K2428" s="11">
        <v>0</v>
      </c>
      <c r="L2428" s="4"/>
      <c r="M2428" s="4"/>
      <c r="N2428" s="11">
        <v>350</v>
      </c>
      <c r="O2428" s="4" t="s">
        <v>56</v>
      </c>
      <c r="P2428" s="4" t="s">
        <v>57</v>
      </c>
      <c r="Q2428" s="11">
        <v>0</v>
      </c>
      <c r="R2428" s="4"/>
      <c r="S2428" s="12"/>
    </row>
    <row r="2429" spans="1:19" x14ac:dyDescent="0.25">
      <c r="A2429" s="9" t="s">
        <v>1117</v>
      </c>
      <c r="B2429" s="9" t="s">
        <v>291</v>
      </c>
      <c r="C2429" s="4">
        <v>201005313</v>
      </c>
      <c r="D2429" s="4" t="s">
        <v>1407</v>
      </c>
      <c r="E2429" s="4" t="str">
        <f>"111792010"</f>
        <v>111792010</v>
      </c>
      <c r="F2429" s="10">
        <v>40443</v>
      </c>
      <c r="G2429" s="11">
        <v>350</v>
      </c>
      <c r="H2429" s="11">
        <v>0</v>
      </c>
      <c r="I2429" s="4"/>
      <c r="J2429" s="4"/>
      <c r="K2429" s="11">
        <v>0</v>
      </c>
      <c r="L2429" s="4"/>
      <c r="M2429" s="4"/>
      <c r="N2429" s="11">
        <v>350</v>
      </c>
      <c r="O2429" s="4" t="s">
        <v>56</v>
      </c>
      <c r="P2429" s="4" t="s">
        <v>57</v>
      </c>
      <c r="Q2429" s="11">
        <v>0</v>
      </c>
      <c r="R2429" s="4"/>
      <c r="S2429" s="12"/>
    </row>
    <row r="2430" spans="1:19" x14ac:dyDescent="0.25">
      <c r="A2430" s="9" t="s">
        <v>1117</v>
      </c>
      <c r="B2430" s="9" t="s">
        <v>291</v>
      </c>
      <c r="C2430" s="4">
        <v>201005339</v>
      </c>
      <c r="D2430" s="4" t="s">
        <v>1201</v>
      </c>
      <c r="E2430" s="4" t="str">
        <f>"106212010"</f>
        <v>106212010</v>
      </c>
      <c r="F2430" s="10">
        <v>40417</v>
      </c>
      <c r="G2430" s="11">
        <v>350</v>
      </c>
      <c r="H2430" s="11">
        <v>0</v>
      </c>
      <c r="I2430" s="4"/>
      <c r="J2430" s="4"/>
      <c r="K2430" s="11">
        <v>0</v>
      </c>
      <c r="L2430" s="4"/>
      <c r="M2430" s="4"/>
      <c r="N2430" s="11">
        <v>350</v>
      </c>
      <c r="O2430" s="4" t="s">
        <v>56</v>
      </c>
      <c r="P2430" s="4" t="s">
        <v>57</v>
      </c>
      <c r="Q2430" s="11">
        <v>0</v>
      </c>
      <c r="R2430" s="4"/>
      <c r="S2430" s="12"/>
    </row>
    <row r="2431" spans="1:19" x14ac:dyDescent="0.25">
      <c r="A2431" s="9" t="s">
        <v>1117</v>
      </c>
      <c r="B2431" s="9" t="s">
        <v>291</v>
      </c>
      <c r="C2431" s="4">
        <v>201005342</v>
      </c>
      <c r="D2431" s="4" t="s">
        <v>1656</v>
      </c>
      <c r="E2431" s="4" t="str">
        <f>"106152010"</f>
        <v>106152010</v>
      </c>
      <c r="F2431" s="10">
        <v>40417</v>
      </c>
      <c r="G2431" s="11">
        <v>350</v>
      </c>
      <c r="H2431" s="11">
        <v>0</v>
      </c>
      <c r="I2431" s="4"/>
      <c r="J2431" s="4"/>
      <c r="K2431" s="11">
        <v>0</v>
      </c>
      <c r="L2431" s="4"/>
      <c r="M2431" s="4"/>
      <c r="N2431" s="11">
        <v>350</v>
      </c>
      <c r="O2431" s="4" t="s">
        <v>56</v>
      </c>
      <c r="P2431" s="4" t="s">
        <v>57</v>
      </c>
      <c r="Q2431" s="11">
        <v>0</v>
      </c>
      <c r="R2431" s="4"/>
      <c r="S2431" s="12"/>
    </row>
    <row r="2432" spans="1:19" x14ac:dyDescent="0.25">
      <c r="A2432" s="9" t="s">
        <v>1117</v>
      </c>
      <c r="B2432" s="9" t="s">
        <v>291</v>
      </c>
      <c r="C2432" s="4">
        <v>201005363</v>
      </c>
      <c r="D2432" s="4" t="s">
        <v>1657</v>
      </c>
      <c r="E2432" s="4" t="str">
        <f>"112942010"</f>
        <v>112942010</v>
      </c>
      <c r="F2432" s="10">
        <v>40445</v>
      </c>
      <c r="G2432" s="11">
        <v>350</v>
      </c>
      <c r="H2432" s="11">
        <v>0</v>
      </c>
      <c r="I2432" s="4"/>
      <c r="J2432" s="4"/>
      <c r="K2432" s="11">
        <v>0</v>
      </c>
      <c r="L2432" s="4"/>
      <c r="M2432" s="4"/>
      <c r="N2432" s="11">
        <v>350</v>
      </c>
      <c r="O2432" s="4" t="s">
        <v>56</v>
      </c>
      <c r="P2432" s="4" t="s">
        <v>57</v>
      </c>
      <c r="Q2432" s="11">
        <v>0</v>
      </c>
      <c r="R2432" s="4"/>
      <c r="S2432" s="12"/>
    </row>
    <row r="2433" spans="1:19" x14ac:dyDescent="0.25">
      <c r="A2433" s="9" t="s">
        <v>1117</v>
      </c>
      <c r="B2433" s="9" t="s">
        <v>291</v>
      </c>
      <c r="C2433" s="4">
        <v>201005364</v>
      </c>
      <c r="D2433" s="4" t="s">
        <v>1124</v>
      </c>
      <c r="E2433" s="4" t="str">
        <f>"111512010"</f>
        <v>111512010</v>
      </c>
      <c r="F2433" s="10">
        <v>40438</v>
      </c>
      <c r="G2433" s="11">
        <v>119.54</v>
      </c>
      <c r="H2433" s="11">
        <v>0</v>
      </c>
      <c r="I2433" s="4"/>
      <c r="J2433" s="4"/>
      <c r="K2433" s="11">
        <v>0</v>
      </c>
      <c r="L2433" s="4"/>
      <c r="M2433" s="4"/>
      <c r="N2433" s="11">
        <v>119.54</v>
      </c>
      <c r="O2433" s="4" t="s">
        <v>56</v>
      </c>
      <c r="P2433" s="4" t="s">
        <v>57</v>
      </c>
      <c r="Q2433" s="11">
        <v>0</v>
      </c>
      <c r="R2433" s="4"/>
      <c r="S2433" s="12"/>
    </row>
    <row r="2434" spans="1:19" x14ac:dyDescent="0.25">
      <c r="A2434" s="9" t="s">
        <v>1117</v>
      </c>
      <c r="B2434" s="9" t="s">
        <v>291</v>
      </c>
      <c r="C2434" s="4">
        <v>201005366</v>
      </c>
      <c r="D2434" s="4" t="s">
        <v>1642</v>
      </c>
      <c r="E2434" s="4" t="str">
        <f>"107672010"</f>
        <v>107672010</v>
      </c>
      <c r="F2434" s="10">
        <v>40423</v>
      </c>
      <c r="G2434" s="11">
        <v>14.18</v>
      </c>
      <c r="H2434" s="11">
        <v>0</v>
      </c>
      <c r="I2434" s="4"/>
      <c r="J2434" s="4"/>
      <c r="K2434" s="11">
        <v>0</v>
      </c>
      <c r="L2434" s="4"/>
      <c r="M2434" s="4"/>
      <c r="N2434" s="11">
        <v>14.18</v>
      </c>
      <c r="O2434" s="4" t="s">
        <v>56</v>
      </c>
      <c r="P2434" s="4" t="s">
        <v>57</v>
      </c>
      <c r="Q2434" s="11">
        <v>0</v>
      </c>
      <c r="R2434" s="4"/>
      <c r="S2434" s="12"/>
    </row>
    <row r="2435" spans="1:19" x14ac:dyDescent="0.25">
      <c r="A2435" s="9" t="s">
        <v>1117</v>
      </c>
      <c r="B2435" s="9" t="s">
        <v>291</v>
      </c>
      <c r="C2435" s="4">
        <v>201005375</v>
      </c>
      <c r="D2435" s="4" t="s">
        <v>1473</v>
      </c>
      <c r="E2435" s="4" t="str">
        <f>"110292010"</f>
        <v>110292010</v>
      </c>
      <c r="F2435" s="10">
        <v>40431</v>
      </c>
      <c r="G2435" s="11">
        <v>350</v>
      </c>
      <c r="H2435" s="11">
        <v>0</v>
      </c>
      <c r="I2435" s="4"/>
      <c r="J2435" s="4"/>
      <c r="K2435" s="11">
        <v>0</v>
      </c>
      <c r="L2435" s="4"/>
      <c r="M2435" s="4"/>
      <c r="N2435" s="11">
        <v>350</v>
      </c>
      <c r="O2435" s="4" t="s">
        <v>56</v>
      </c>
      <c r="P2435" s="4" t="s">
        <v>57</v>
      </c>
      <c r="Q2435" s="11">
        <v>0</v>
      </c>
      <c r="R2435" s="4"/>
      <c r="S2435" s="12"/>
    </row>
    <row r="2436" spans="1:19" x14ac:dyDescent="0.25">
      <c r="A2436" s="9" t="s">
        <v>1117</v>
      </c>
      <c r="B2436" s="9" t="s">
        <v>291</v>
      </c>
      <c r="C2436" s="4">
        <v>201005442</v>
      </c>
      <c r="D2436" s="4" t="s">
        <v>1155</v>
      </c>
      <c r="E2436" s="4" t="str">
        <f>"107812010"</f>
        <v>107812010</v>
      </c>
      <c r="F2436" s="10">
        <v>40423</v>
      </c>
      <c r="G2436" s="11">
        <v>350</v>
      </c>
      <c r="H2436" s="11">
        <v>0</v>
      </c>
      <c r="I2436" s="4"/>
      <c r="J2436" s="4"/>
      <c r="K2436" s="11">
        <v>0</v>
      </c>
      <c r="L2436" s="4"/>
      <c r="M2436" s="4"/>
      <c r="N2436" s="11">
        <v>350</v>
      </c>
      <c r="O2436" s="4" t="s">
        <v>56</v>
      </c>
      <c r="P2436" s="4" t="s">
        <v>57</v>
      </c>
      <c r="Q2436" s="11">
        <v>0</v>
      </c>
      <c r="R2436" s="4"/>
      <c r="S2436" s="12"/>
    </row>
    <row r="2437" spans="1:19" x14ac:dyDescent="0.25">
      <c r="A2437" s="9" t="s">
        <v>1117</v>
      </c>
      <c r="B2437" s="9" t="s">
        <v>291</v>
      </c>
      <c r="C2437" s="4">
        <v>201005443</v>
      </c>
      <c r="D2437" s="4" t="s">
        <v>1658</v>
      </c>
      <c r="E2437" s="4" t="str">
        <f>"107852010"</f>
        <v>107852010</v>
      </c>
      <c r="F2437" s="10">
        <v>40424</v>
      </c>
      <c r="G2437" s="11">
        <v>350</v>
      </c>
      <c r="H2437" s="11">
        <v>0</v>
      </c>
      <c r="I2437" s="4"/>
      <c r="J2437" s="4"/>
      <c r="K2437" s="11">
        <v>0</v>
      </c>
      <c r="L2437" s="4"/>
      <c r="M2437" s="4"/>
      <c r="N2437" s="11">
        <v>350</v>
      </c>
      <c r="O2437" s="4" t="s">
        <v>56</v>
      </c>
      <c r="P2437" s="4" t="s">
        <v>57</v>
      </c>
      <c r="Q2437" s="11">
        <v>0</v>
      </c>
      <c r="R2437" s="4"/>
      <c r="S2437" s="12"/>
    </row>
    <row r="2438" spans="1:19" x14ac:dyDescent="0.25">
      <c r="A2438" s="9" t="s">
        <v>1117</v>
      </c>
      <c r="B2438" s="9" t="s">
        <v>291</v>
      </c>
      <c r="C2438" s="4">
        <v>201005445</v>
      </c>
      <c r="D2438" s="4" t="s">
        <v>1659</v>
      </c>
      <c r="E2438" s="4" t="str">
        <f>"108072010"</f>
        <v>108072010</v>
      </c>
      <c r="F2438" s="10">
        <v>40424</v>
      </c>
      <c r="G2438" s="11">
        <v>350</v>
      </c>
      <c r="H2438" s="11">
        <v>0</v>
      </c>
      <c r="I2438" s="4"/>
      <c r="J2438" s="4"/>
      <c r="K2438" s="11">
        <v>0</v>
      </c>
      <c r="L2438" s="4"/>
      <c r="M2438" s="4"/>
      <c r="N2438" s="11">
        <v>350</v>
      </c>
      <c r="O2438" s="4" t="s">
        <v>56</v>
      </c>
      <c r="P2438" s="4" t="s">
        <v>57</v>
      </c>
      <c r="Q2438" s="11">
        <v>0</v>
      </c>
      <c r="R2438" s="4"/>
      <c r="S2438" s="12"/>
    </row>
    <row r="2439" spans="1:19" x14ac:dyDescent="0.25">
      <c r="A2439" s="9" t="s">
        <v>1117</v>
      </c>
      <c r="B2439" s="9" t="s">
        <v>291</v>
      </c>
      <c r="C2439" s="4">
        <v>201005452</v>
      </c>
      <c r="D2439" s="4" t="s">
        <v>1660</v>
      </c>
      <c r="E2439" s="4" t="str">
        <f>"108012010"</f>
        <v>108012010</v>
      </c>
      <c r="F2439" s="10">
        <v>40424</v>
      </c>
      <c r="G2439" s="11">
        <v>350</v>
      </c>
      <c r="H2439" s="11">
        <v>0</v>
      </c>
      <c r="I2439" s="4"/>
      <c r="J2439" s="4"/>
      <c r="K2439" s="11">
        <v>0</v>
      </c>
      <c r="L2439" s="4"/>
      <c r="M2439" s="4"/>
      <c r="N2439" s="11">
        <v>350</v>
      </c>
      <c r="O2439" s="4" t="s">
        <v>56</v>
      </c>
      <c r="P2439" s="4" t="s">
        <v>57</v>
      </c>
      <c r="Q2439" s="11">
        <v>0</v>
      </c>
      <c r="R2439" s="4"/>
      <c r="S2439" s="12"/>
    </row>
    <row r="2440" spans="1:19" x14ac:dyDescent="0.25">
      <c r="A2440" s="9" t="s">
        <v>1117</v>
      </c>
      <c r="B2440" s="9" t="s">
        <v>291</v>
      </c>
      <c r="C2440" s="4">
        <v>201005456</v>
      </c>
      <c r="D2440" s="4" t="s">
        <v>1237</v>
      </c>
      <c r="E2440" s="4" t="str">
        <f>"108172010"</f>
        <v>108172010</v>
      </c>
      <c r="F2440" s="10">
        <v>40424</v>
      </c>
      <c r="G2440" s="11">
        <v>365</v>
      </c>
      <c r="H2440" s="11">
        <v>0</v>
      </c>
      <c r="I2440" s="4"/>
      <c r="J2440" s="4"/>
      <c r="K2440" s="11">
        <v>0</v>
      </c>
      <c r="L2440" s="4"/>
      <c r="M2440" s="4"/>
      <c r="N2440" s="11">
        <v>365</v>
      </c>
      <c r="O2440" s="4" t="s">
        <v>56</v>
      </c>
      <c r="P2440" s="4" t="s">
        <v>57</v>
      </c>
      <c r="Q2440" s="11">
        <v>0</v>
      </c>
      <c r="R2440" s="4"/>
      <c r="S2440" s="12"/>
    </row>
    <row r="2441" spans="1:19" x14ac:dyDescent="0.25">
      <c r="A2441" s="9" t="s">
        <v>1117</v>
      </c>
      <c r="B2441" s="9" t="s">
        <v>291</v>
      </c>
      <c r="C2441" s="4">
        <v>201005458</v>
      </c>
      <c r="D2441" s="4" t="s">
        <v>1661</v>
      </c>
      <c r="E2441" s="4" t="str">
        <f>"108272010"</f>
        <v>108272010</v>
      </c>
      <c r="F2441" s="10">
        <v>40424</v>
      </c>
      <c r="G2441" s="11">
        <v>350</v>
      </c>
      <c r="H2441" s="11">
        <v>0</v>
      </c>
      <c r="I2441" s="4"/>
      <c r="J2441" s="4"/>
      <c r="K2441" s="11">
        <v>0</v>
      </c>
      <c r="L2441" s="4"/>
      <c r="M2441" s="4"/>
      <c r="N2441" s="11">
        <v>350</v>
      </c>
      <c r="O2441" s="4" t="s">
        <v>56</v>
      </c>
      <c r="P2441" s="4" t="s">
        <v>57</v>
      </c>
      <c r="Q2441" s="11">
        <v>0</v>
      </c>
      <c r="R2441" s="4"/>
      <c r="S2441" s="12"/>
    </row>
    <row r="2442" spans="1:19" x14ac:dyDescent="0.25">
      <c r="A2442" s="9" t="s">
        <v>1117</v>
      </c>
      <c r="B2442" s="9" t="s">
        <v>291</v>
      </c>
      <c r="C2442" s="4">
        <v>201005462</v>
      </c>
      <c r="D2442" s="4" t="s">
        <v>1662</v>
      </c>
      <c r="E2442" s="4" t="str">
        <f>"108292010"</f>
        <v>108292010</v>
      </c>
      <c r="F2442" s="10">
        <v>40424</v>
      </c>
      <c r="G2442" s="11">
        <v>350</v>
      </c>
      <c r="H2442" s="11">
        <v>0</v>
      </c>
      <c r="I2442" s="4"/>
      <c r="J2442" s="4"/>
      <c r="K2442" s="11">
        <v>0</v>
      </c>
      <c r="L2442" s="4"/>
      <c r="M2442" s="4"/>
      <c r="N2442" s="11">
        <v>350</v>
      </c>
      <c r="O2442" s="4" t="s">
        <v>56</v>
      </c>
      <c r="P2442" s="4" t="s">
        <v>57</v>
      </c>
      <c r="Q2442" s="11">
        <v>0</v>
      </c>
      <c r="R2442" s="4"/>
      <c r="S2442" s="12"/>
    </row>
    <row r="2443" spans="1:19" x14ac:dyDescent="0.25">
      <c r="A2443" s="9" t="s">
        <v>1117</v>
      </c>
      <c r="B2443" s="9" t="s">
        <v>291</v>
      </c>
      <c r="C2443" s="4">
        <v>201005464</v>
      </c>
      <c r="D2443" s="4" t="s">
        <v>1663</v>
      </c>
      <c r="E2443" s="4" t="str">
        <f>"108312010"</f>
        <v>108312010</v>
      </c>
      <c r="F2443" s="10">
        <v>40424</v>
      </c>
      <c r="G2443" s="11">
        <v>350</v>
      </c>
      <c r="H2443" s="11">
        <v>0</v>
      </c>
      <c r="I2443" s="4"/>
      <c r="J2443" s="4"/>
      <c r="K2443" s="11">
        <v>0</v>
      </c>
      <c r="L2443" s="4"/>
      <c r="M2443" s="4"/>
      <c r="N2443" s="11">
        <v>350</v>
      </c>
      <c r="O2443" s="4" t="s">
        <v>56</v>
      </c>
      <c r="P2443" s="4" t="s">
        <v>57</v>
      </c>
      <c r="Q2443" s="11">
        <v>0</v>
      </c>
      <c r="R2443" s="4"/>
      <c r="S2443" s="12"/>
    </row>
    <row r="2444" spans="1:19" x14ac:dyDescent="0.25">
      <c r="A2444" s="9" t="s">
        <v>1117</v>
      </c>
      <c r="B2444" s="9" t="s">
        <v>291</v>
      </c>
      <c r="C2444" s="4">
        <v>201005465</v>
      </c>
      <c r="D2444" s="4" t="s">
        <v>1664</v>
      </c>
      <c r="E2444" s="4" t="str">
        <f>"108332010"</f>
        <v>108332010</v>
      </c>
      <c r="F2444" s="10">
        <v>40424</v>
      </c>
      <c r="G2444" s="11">
        <v>350</v>
      </c>
      <c r="H2444" s="11">
        <v>0</v>
      </c>
      <c r="I2444" s="4"/>
      <c r="J2444" s="4"/>
      <c r="K2444" s="11">
        <v>0</v>
      </c>
      <c r="L2444" s="4"/>
      <c r="M2444" s="4"/>
      <c r="N2444" s="11">
        <v>350</v>
      </c>
      <c r="O2444" s="4" t="s">
        <v>56</v>
      </c>
      <c r="P2444" s="4" t="s">
        <v>57</v>
      </c>
      <c r="Q2444" s="11">
        <v>0</v>
      </c>
      <c r="R2444" s="4"/>
      <c r="S2444" s="12"/>
    </row>
    <row r="2445" spans="1:19" x14ac:dyDescent="0.25">
      <c r="A2445" s="9" t="s">
        <v>1117</v>
      </c>
      <c r="B2445" s="9" t="s">
        <v>291</v>
      </c>
      <c r="C2445" s="4">
        <v>201005477</v>
      </c>
      <c r="D2445" s="4" t="s">
        <v>1496</v>
      </c>
      <c r="E2445" s="4" t="str">
        <f>"108492010"</f>
        <v>108492010</v>
      </c>
      <c r="F2445" s="10">
        <v>40424</v>
      </c>
      <c r="G2445" s="11">
        <v>350</v>
      </c>
      <c r="H2445" s="11">
        <v>0</v>
      </c>
      <c r="I2445" s="4"/>
      <c r="J2445" s="4"/>
      <c r="K2445" s="11">
        <v>0</v>
      </c>
      <c r="L2445" s="4"/>
      <c r="M2445" s="4"/>
      <c r="N2445" s="11">
        <v>350</v>
      </c>
      <c r="O2445" s="4" t="s">
        <v>56</v>
      </c>
      <c r="P2445" s="4" t="s">
        <v>57</v>
      </c>
      <c r="Q2445" s="11">
        <v>0</v>
      </c>
      <c r="R2445" s="4"/>
      <c r="S2445" s="12"/>
    </row>
    <row r="2446" spans="1:19" x14ac:dyDescent="0.25">
      <c r="A2446" s="9" t="s">
        <v>1117</v>
      </c>
      <c r="B2446" s="9" t="s">
        <v>291</v>
      </c>
      <c r="C2446" s="4">
        <v>201005478</v>
      </c>
      <c r="D2446" s="4" t="s">
        <v>1197</v>
      </c>
      <c r="E2446" s="4" t="str">
        <f>"108472010"</f>
        <v>108472010</v>
      </c>
      <c r="F2446" s="10">
        <v>40424</v>
      </c>
      <c r="G2446" s="11">
        <v>350</v>
      </c>
      <c r="H2446" s="11">
        <v>0</v>
      </c>
      <c r="I2446" s="4"/>
      <c r="J2446" s="4"/>
      <c r="K2446" s="11">
        <v>0</v>
      </c>
      <c r="L2446" s="4"/>
      <c r="M2446" s="4"/>
      <c r="N2446" s="11">
        <v>350</v>
      </c>
      <c r="O2446" s="4" t="s">
        <v>56</v>
      </c>
      <c r="P2446" s="4" t="s">
        <v>57</v>
      </c>
      <c r="Q2446" s="11">
        <v>0</v>
      </c>
      <c r="R2446" s="4"/>
      <c r="S2446" s="12"/>
    </row>
    <row r="2447" spans="1:19" x14ac:dyDescent="0.25">
      <c r="A2447" s="9" t="s">
        <v>1117</v>
      </c>
      <c r="B2447" s="9" t="s">
        <v>291</v>
      </c>
      <c r="C2447" s="4">
        <v>201005480</v>
      </c>
      <c r="D2447" s="4" t="s">
        <v>1197</v>
      </c>
      <c r="E2447" s="4" t="str">
        <f>"108632010"</f>
        <v>108632010</v>
      </c>
      <c r="F2447" s="10">
        <v>40429</v>
      </c>
      <c r="G2447" s="11">
        <v>350</v>
      </c>
      <c r="H2447" s="11">
        <v>0</v>
      </c>
      <c r="I2447" s="4"/>
      <c r="J2447" s="4"/>
      <c r="K2447" s="11">
        <v>0</v>
      </c>
      <c r="L2447" s="4"/>
      <c r="M2447" s="4"/>
      <c r="N2447" s="11">
        <v>350</v>
      </c>
      <c r="O2447" s="4" t="s">
        <v>56</v>
      </c>
      <c r="P2447" s="4" t="s">
        <v>57</v>
      </c>
      <c r="Q2447" s="11">
        <v>0</v>
      </c>
      <c r="R2447" s="4"/>
      <c r="S2447" s="12"/>
    </row>
    <row r="2448" spans="1:19" x14ac:dyDescent="0.25">
      <c r="A2448" s="9" t="s">
        <v>1117</v>
      </c>
      <c r="B2448" s="9" t="s">
        <v>291</v>
      </c>
      <c r="C2448" s="4">
        <v>201005482</v>
      </c>
      <c r="D2448" s="4" t="s">
        <v>1197</v>
      </c>
      <c r="E2448" s="4" t="str">
        <f>"108672010"</f>
        <v>108672010</v>
      </c>
      <c r="F2448" s="10">
        <v>40429</v>
      </c>
      <c r="G2448" s="11">
        <v>350</v>
      </c>
      <c r="H2448" s="11">
        <v>0</v>
      </c>
      <c r="I2448" s="4"/>
      <c r="J2448" s="4"/>
      <c r="K2448" s="11">
        <v>0</v>
      </c>
      <c r="L2448" s="4"/>
      <c r="M2448" s="4"/>
      <c r="N2448" s="11">
        <v>350</v>
      </c>
      <c r="O2448" s="4" t="s">
        <v>56</v>
      </c>
      <c r="P2448" s="4" t="s">
        <v>57</v>
      </c>
      <c r="Q2448" s="11">
        <v>0</v>
      </c>
      <c r="R2448" s="4"/>
      <c r="S2448" s="12"/>
    </row>
    <row r="2449" spans="1:19" x14ac:dyDescent="0.25">
      <c r="A2449" s="9" t="s">
        <v>1117</v>
      </c>
      <c r="B2449" s="9" t="s">
        <v>291</v>
      </c>
      <c r="C2449" s="4">
        <v>201005483</v>
      </c>
      <c r="D2449" s="4" t="s">
        <v>1175</v>
      </c>
      <c r="E2449" s="4" t="str">
        <f>"108732010"</f>
        <v>108732010</v>
      </c>
      <c r="F2449" s="10">
        <v>40429</v>
      </c>
      <c r="G2449" s="11">
        <v>568.6</v>
      </c>
      <c r="H2449" s="11">
        <v>0</v>
      </c>
      <c r="I2449" s="4"/>
      <c r="J2449" s="4"/>
      <c r="K2449" s="11">
        <v>0</v>
      </c>
      <c r="L2449" s="4"/>
      <c r="M2449" s="4"/>
      <c r="N2449" s="11">
        <v>568.6</v>
      </c>
      <c r="O2449" s="4" t="s">
        <v>56</v>
      </c>
      <c r="P2449" s="4" t="s">
        <v>57</v>
      </c>
      <c r="Q2449" s="11">
        <v>0</v>
      </c>
      <c r="R2449" s="4"/>
      <c r="S2449" s="12"/>
    </row>
    <row r="2450" spans="1:19" x14ac:dyDescent="0.25">
      <c r="A2450" s="9" t="s">
        <v>1117</v>
      </c>
      <c r="B2450" s="9" t="s">
        <v>291</v>
      </c>
      <c r="C2450" s="4">
        <v>201005487</v>
      </c>
      <c r="D2450" s="4" t="s">
        <v>1504</v>
      </c>
      <c r="E2450" s="4" t="str">
        <f>"108792010"</f>
        <v>108792010</v>
      </c>
      <c r="F2450" s="10">
        <v>40429</v>
      </c>
      <c r="G2450" s="11">
        <v>15.45</v>
      </c>
      <c r="H2450" s="11">
        <v>0</v>
      </c>
      <c r="I2450" s="4"/>
      <c r="J2450" s="4"/>
      <c r="K2450" s="11">
        <v>0</v>
      </c>
      <c r="L2450" s="4"/>
      <c r="M2450" s="4"/>
      <c r="N2450" s="11">
        <v>15.45</v>
      </c>
      <c r="O2450" s="4" t="s">
        <v>56</v>
      </c>
      <c r="P2450" s="4" t="s">
        <v>57</v>
      </c>
      <c r="Q2450" s="11">
        <v>0</v>
      </c>
      <c r="R2450" s="4"/>
      <c r="S2450" s="12"/>
    </row>
    <row r="2451" spans="1:19" x14ac:dyDescent="0.25">
      <c r="A2451" s="9" t="s">
        <v>1117</v>
      </c>
      <c r="B2451" s="9" t="s">
        <v>291</v>
      </c>
      <c r="C2451" s="4">
        <v>201005488</v>
      </c>
      <c r="D2451" s="4" t="s">
        <v>1504</v>
      </c>
      <c r="E2451" s="4" t="str">
        <f>"108832010"</f>
        <v>108832010</v>
      </c>
      <c r="F2451" s="10">
        <v>40429</v>
      </c>
      <c r="G2451" s="11">
        <v>23.4</v>
      </c>
      <c r="H2451" s="11">
        <v>0</v>
      </c>
      <c r="I2451" s="4"/>
      <c r="J2451" s="4"/>
      <c r="K2451" s="11">
        <v>0</v>
      </c>
      <c r="L2451" s="4"/>
      <c r="M2451" s="4"/>
      <c r="N2451" s="11">
        <v>23.4</v>
      </c>
      <c r="O2451" s="4" t="s">
        <v>56</v>
      </c>
      <c r="P2451" s="4" t="s">
        <v>57</v>
      </c>
      <c r="Q2451" s="11">
        <v>0</v>
      </c>
      <c r="R2451" s="4"/>
      <c r="S2451" s="12"/>
    </row>
    <row r="2452" spans="1:19" x14ac:dyDescent="0.25">
      <c r="A2452" s="9" t="s">
        <v>1117</v>
      </c>
      <c r="B2452" s="9" t="s">
        <v>291</v>
      </c>
      <c r="C2452" s="4">
        <v>201005489</v>
      </c>
      <c r="D2452" s="4" t="s">
        <v>1197</v>
      </c>
      <c r="E2452" s="4" t="str">
        <f>"108812010"</f>
        <v>108812010</v>
      </c>
      <c r="F2452" s="10">
        <v>40429</v>
      </c>
      <c r="G2452" s="11">
        <v>350</v>
      </c>
      <c r="H2452" s="11">
        <v>0</v>
      </c>
      <c r="I2452" s="4"/>
      <c r="J2452" s="4"/>
      <c r="K2452" s="11">
        <v>0</v>
      </c>
      <c r="L2452" s="4"/>
      <c r="M2452" s="4"/>
      <c r="N2452" s="11">
        <v>350</v>
      </c>
      <c r="O2452" s="4" t="s">
        <v>56</v>
      </c>
      <c r="P2452" s="4" t="s">
        <v>57</v>
      </c>
      <c r="Q2452" s="11">
        <v>0</v>
      </c>
      <c r="R2452" s="4"/>
      <c r="S2452" s="12"/>
    </row>
    <row r="2453" spans="1:19" x14ac:dyDescent="0.25">
      <c r="A2453" s="9" t="s">
        <v>1117</v>
      </c>
      <c r="B2453" s="9" t="s">
        <v>291</v>
      </c>
      <c r="C2453" s="4">
        <v>201005491</v>
      </c>
      <c r="D2453" s="4" t="s">
        <v>1526</v>
      </c>
      <c r="E2453" s="4" t="str">
        <f>"109332010"</f>
        <v>109332010</v>
      </c>
      <c r="F2453" s="10">
        <v>40430</v>
      </c>
      <c r="G2453" s="11">
        <v>366</v>
      </c>
      <c r="H2453" s="11">
        <v>0</v>
      </c>
      <c r="I2453" s="4"/>
      <c r="J2453" s="4"/>
      <c r="K2453" s="11">
        <v>0</v>
      </c>
      <c r="L2453" s="4"/>
      <c r="M2453" s="4"/>
      <c r="N2453" s="11">
        <v>366</v>
      </c>
      <c r="O2453" s="4" t="s">
        <v>56</v>
      </c>
      <c r="P2453" s="4" t="s">
        <v>57</v>
      </c>
      <c r="Q2453" s="11">
        <v>0</v>
      </c>
      <c r="R2453" s="4"/>
      <c r="S2453" s="12"/>
    </row>
    <row r="2454" spans="1:19" x14ac:dyDescent="0.25">
      <c r="A2454" s="9" t="s">
        <v>1117</v>
      </c>
      <c r="B2454" s="9" t="s">
        <v>291</v>
      </c>
      <c r="C2454" s="4">
        <v>201005504</v>
      </c>
      <c r="D2454" s="4" t="s">
        <v>1665</v>
      </c>
      <c r="E2454" s="4" t="str">
        <f>"110272010"</f>
        <v>110272010</v>
      </c>
      <c r="F2454" s="10">
        <v>40431</v>
      </c>
      <c r="G2454" s="11">
        <v>368.72</v>
      </c>
      <c r="H2454" s="11">
        <v>0</v>
      </c>
      <c r="I2454" s="4"/>
      <c r="J2454" s="4"/>
      <c r="K2454" s="11">
        <v>0</v>
      </c>
      <c r="L2454" s="4"/>
      <c r="M2454" s="4"/>
      <c r="N2454" s="11">
        <v>368.72</v>
      </c>
      <c r="O2454" s="4" t="s">
        <v>56</v>
      </c>
      <c r="P2454" s="4" t="s">
        <v>57</v>
      </c>
      <c r="Q2454" s="11">
        <v>0</v>
      </c>
      <c r="R2454" s="4"/>
      <c r="S2454" s="12"/>
    </row>
    <row r="2455" spans="1:19" x14ac:dyDescent="0.25">
      <c r="A2455" s="9" t="s">
        <v>1117</v>
      </c>
      <c r="B2455" s="9" t="s">
        <v>291</v>
      </c>
      <c r="C2455" s="4">
        <v>201005510</v>
      </c>
      <c r="D2455" s="4" t="s">
        <v>1488</v>
      </c>
      <c r="E2455" s="4" t="str">
        <f>"109472010"</f>
        <v>109472010</v>
      </c>
      <c r="F2455" s="10">
        <v>40430</v>
      </c>
      <c r="G2455" s="11">
        <v>27.3</v>
      </c>
      <c r="H2455" s="11">
        <v>0</v>
      </c>
      <c r="I2455" s="4"/>
      <c r="J2455" s="4"/>
      <c r="K2455" s="11">
        <v>0</v>
      </c>
      <c r="L2455" s="4"/>
      <c r="M2455" s="4"/>
      <c r="N2455" s="11">
        <v>27.3</v>
      </c>
      <c r="O2455" s="4" t="s">
        <v>56</v>
      </c>
      <c r="P2455" s="4" t="s">
        <v>57</v>
      </c>
      <c r="Q2455" s="11">
        <v>0</v>
      </c>
      <c r="R2455" s="4"/>
      <c r="S2455" s="12"/>
    </row>
    <row r="2456" spans="1:19" x14ac:dyDescent="0.25">
      <c r="A2456" s="9" t="s">
        <v>1117</v>
      </c>
      <c r="B2456" s="9" t="s">
        <v>291</v>
      </c>
      <c r="C2456" s="4">
        <v>201005522</v>
      </c>
      <c r="D2456" s="4" t="s">
        <v>1527</v>
      </c>
      <c r="E2456" s="4" t="str">
        <f>"109692010"</f>
        <v>109692010</v>
      </c>
      <c r="F2456" s="10">
        <v>40431</v>
      </c>
      <c r="G2456" s="11">
        <v>353</v>
      </c>
      <c r="H2456" s="11">
        <v>0</v>
      </c>
      <c r="I2456" s="4"/>
      <c r="J2456" s="4"/>
      <c r="K2456" s="11">
        <v>0</v>
      </c>
      <c r="L2456" s="4"/>
      <c r="M2456" s="4"/>
      <c r="N2456" s="11">
        <v>353</v>
      </c>
      <c r="O2456" s="4" t="s">
        <v>56</v>
      </c>
      <c r="P2456" s="4" t="s">
        <v>57</v>
      </c>
      <c r="Q2456" s="11">
        <v>0</v>
      </c>
      <c r="R2456" s="4"/>
      <c r="S2456" s="12"/>
    </row>
    <row r="2457" spans="1:19" x14ac:dyDescent="0.25">
      <c r="A2457" s="9" t="s">
        <v>1117</v>
      </c>
      <c r="B2457" s="9" t="s">
        <v>291</v>
      </c>
      <c r="C2457" s="4">
        <v>201005525</v>
      </c>
      <c r="D2457" s="4" t="s">
        <v>1527</v>
      </c>
      <c r="E2457" s="4" t="str">
        <f>"109732010"</f>
        <v>109732010</v>
      </c>
      <c r="F2457" s="10">
        <v>40431</v>
      </c>
      <c r="G2457" s="11">
        <v>353.1</v>
      </c>
      <c r="H2457" s="11">
        <v>0</v>
      </c>
      <c r="I2457" s="4"/>
      <c r="J2457" s="4"/>
      <c r="K2457" s="11">
        <v>0</v>
      </c>
      <c r="L2457" s="4"/>
      <c r="M2457" s="4"/>
      <c r="N2457" s="11">
        <v>353.1</v>
      </c>
      <c r="O2457" s="4" t="s">
        <v>56</v>
      </c>
      <c r="P2457" s="4" t="s">
        <v>57</v>
      </c>
      <c r="Q2457" s="11">
        <v>0</v>
      </c>
      <c r="R2457" s="4"/>
      <c r="S2457" s="12"/>
    </row>
    <row r="2458" spans="1:19" x14ac:dyDescent="0.25">
      <c r="A2458" s="9" t="s">
        <v>1117</v>
      </c>
      <c r="B2458" s="9" t="s">
        <v>291</v>
      </c>
      <c r="C2458" s="4">
        <v>201005526</v>
      </c>
      <c r="D2458" s="4" t="s">
        <v>355</v>
      </c>
      <c r="E2458" s="4" t="str">
        <f>"110112010"</f>
        <v>110112010</v>
      </c>
      <c r="F2458" s="10">
        <v>40431</v>
      </c>
      <c r="G2458" s="11">
        <v>350</v>
      </c>
      <c r="H2458" s="11">
        <v>0</v>
      </c>
      <c r="I2458" s="4"/>
      <c r="J2458" s="4"/>
      <c r="K2458" s="11">
        <v>0</v>
      </c>
      <c r="L2458" s="4"/>
      <c r="M2458" s="4"/>
      <c r="N2458" s="11">
        <v>350</v>
      </c>
      <c r="O2458" s="4" t="s">
        <v>56</v>
      </c>
      <c r="P2458" s="4" t="s">
        <v>57</v>
      </c>
      <c r="Q2458" s="11">
        <v>0</v>
      </c>
      <c r="R2458" s="4"/>
      <c r="S2458" s="12"/>
    </row>
    <row r="2459" spans="1:19" x14ac:dyDescent="0.25">
      <c r="A2459" s="9" t="s">
        <v>1117</v>
      </c>
      <c r="B2459" s="9" t="s">
        <v>291</v>
      </c>
      <c r="C2459" s="4">
        <v>201005527</v>
      </c>
      <c r="D2459" s="4" t="s">
        <v>1526</v>
      </c>
      <c r="E2459" s="4" t="str">
        <f>"109892010"</f>
        <v>109892010</v>
      </c>
      <c r="F2459" s="10">
        <v>40431</v>
      </c>
      <c r="G2459" s="11">
        <v>368</v>
      </c>
      <c r="H2459" s="11">
        <v>0</v>
      </c>
      <c r="I2459" s="4"/>
      <c r="J2459" s="4"/>
      <c r="K2459" s="11">
        <v>0</v>
      </c>
      <c r="L2459" s="4"/>
      <c r="M2459" s="4"/>
      <c r="N2459" s="11">
        <v>368</v>
      </c>
      <c r="O2459" s="4" t="s">
        <v>56</v>
      </c>
      <c r="P2459" s="4" t="s">
        <v>57</v>
      </c>
      <c r="Q2459" s="11">
        <v>0</v>
      </c>
      <c r="R2459" s="4"/>
      <c r="S2459" s="12"/>
    </row>
    <row r="2460" spans="1:19" x14ac:dyDescent="0.25">
      <c r="A2460" s="9" t="s">
        <v>1117</v>
      </c>
      <c r="B2460" s="9" t="s">
        <v>291</v>
      </c>
      <c r="C2460" s="4">
        <v>201005529</v>
      </c>
      <c r="D2460" s="4" t="s">
        <v>1526</v>
      </c>
      <c r="E2460" s="4" t="str">
        <f>"109872010"</f>
        <v>109872010</v>
      </c>
      <c r="F2460" s="10">
        <v>40431</v>
      </c>
      <c r="G2460" s="11">
        <v>368</v>
      </c>
      <c r="H2460" s="11">
        <v>0</v>
      </c>
      <c r="I2460" s="4"/>
      <c r="J2460" s="4"/>
      <c r="K2460" s="11">
        <v>0</v>
      </c>
      <c r="L2460" s="4"/>
      <c r="M2460" s="4"/>
      <c r="N2460" s="11">
        <v>368</v>
      </c>
      <c r="O2460" s="4" t="s">
        <v>56</v>
      </c>
      <c r="P2460" s="4" t="s">
        <v>57</v>
      </c>
      <c r="Q2460" s="11">
        <v>0</v>
      </c>
      <c r="R2460" s="4"/>
      <c r="S2460" s="12"/>
    </row>
    <row r="2461" spans="1:19" x14ac:dyDescent="0.25">
      <c r="A2461" s="9" t="s">
        <v>1117</v>
      </c>
      <c r="B2461" s="9" t="s">
        <v>291</v>
      </c>
      <c r="C2461" s="4">
        <v>201005532</v>
      </c>
      <c r="D2461" s="4" t="s">
        <v>1666</v>
      </c>
      <c r="E2461" s="4" t="str">
        <f>"110192010"</f>
        <v>110192010</v>
      </c>
      <c r="F2461" s="10">
        <v>40431</v>
      </c>
      <c r="G2461" s="11">
        <v>10.199999999999999</v>
      </c>
      <c r="H2461" s="11">
        <v>0</v>
      </c>
      <c r="I2461" s="4"/>
      <c r="J2461" s="4"/>
      <c r="K2461" s="11">
        <v>0</v>
      </c>
      <c r="L2461" s="4"/>
      <c r="M2461" s="4"/>
      <c r="N2461" s="11">
        <v>10.199999999999999</v>
      </c>
      <c r="O2461" s="4" t="s">
        <v>56</v>
      </c>
      <c r="P2461" s="4" t="s">
        <v>57</v>
      </c>
      <c r="Q2461" s="11">
        <v>0</v>
      </c>
      <c r="R2461" s="4"/>
      <c r="S2461" s="12"/>
    </row>
    <row r="2462" spans="1:19" x14ac:dyDescent="0.25">
      <c r="A2462" s="9" t="s">
        <v>1117</v>
      </c>
      <c r="B2462" s="9" t="s">
        <v>291</v>
      </c>
      <c r="C2462" s="4">
        <v>201005537</v>
      </c>
      <c r="D2462" s="4" t="s">
        <v>1177</v>
      </c>
      <c r="E2462" s="4" t="str">
        <f>"110172010"</f>
        <v>110172010</v>
      </c>
      <c r="F2462" s="10">
        <v>40431</v>
      </c>
      <c r="G2462" s="11">
        <v>33.4</v>
      </c>
      <c r="H2462" s="11">
        <v>0</v>
      </c>
      <c r="I2462" s="4"/>
      <c r="J2462" s="4"/>
      <c r="K2462" s="11">
        <v>0</v>
      </c>
      <c r="L2462" s="4"/>
      <c r="M2462" s="4"/>
      <c r="N2462" s="11">
        <v>33.4</v>
      </c>
      <c r="O2462" s="4" t="s">
        <v>56</v>
      </c>
      <c r="P2462" s="4" t="s">
        <v>57</v>
      </c>
      <c r="Q2462" s="11">
        <v>0</v>
      </c>
      <c r="R2462" s="4"/>
      <c r="S2462" s="12"/>
    </row>
    <row r="2463" spans="1:19" x14ac:dyDescent="0.25">
      <c r="A2463" s="9" t="s">
        <v>1117</v>
      </c>
      <c r="B2463" s="9" t="s">
        <v>291</v>
      </c>
      <c r="C2463" s="4">
        <v>201005545</v>
      </c>
      <c r="D2463" s="4" t="s">
        <v>1181</v>
      </c>
      <c r="E2463" s="4" t="str">
        <f>"111092010"</f>
        <v>111092010</v>
      </c>
      <c r="F2463" s="10">
        <v>40437</v>
      </c>
      <c r="G2463" s="11">
        <v>370.75</v>
      </c>
      <c r="H2463" s="11">
        <v>0</v>
      </c>
      <c r="I2463" s="4"/>
      <c r="J2463" s="4"/>
      <c r="K2463" s="11">
        <v>0</v>
      </c>
      <c r="L2463" s="4"/>
      <c r="M2463" s="4"/>
      <c r="N2463" s="11">
        <v>370.75</v>
      </c>
      <c r="O2463" s="4" t="s">
        <v>56</v>
      </c>
      <c r="P2463" s="4" t="s">
        <v>57</v>
      </c>
      <c r="Q2463" s="11">
        <v>0</v>
      </c>
      <c r="R2463" s="4"/>
      <c r="S2463" s="12"/>
    </row>
    <row r="2464" spans="1:19" x14ac:dyDescent="0.25">
      <c r="A2464" s="9" t="s">
        <v>1117</v>
      </c>
      <c r="B2464" s="9" t="s">
        <v>291</v>
      </c>
      <c r="C2464" s="4">
        <v>201005550</v>
      </c>
      <c r="D2464" s="4" t="s">
        <v>1504</v>
      </c>
      <c r="E2464" s="4" t="str">
        <f>"112022010"</f>
        <v>112022010</v>
      </c>
      <c r="F2464" s="10">
        <v>40443</v>
      </c>
      <c r="G2464" s="11">
        <v>14.1</v>
      </c>
      <c r="H2464" s="11">
        <v>0</v>
      </c>
      <c r="I2464" s="4"/>
      <c r="J2464" s="4"/>
      <c r="K2464" s="11">
        <v>0</v>
      </c>
      <c r="L2464" s="4"/>
      <c r="M2464" s="4"/>
      <c r="N2464" s="11">
        <v>14.1</v>
      </c>
      <c r="O2464" s="4" t="s">
        <v>56</v>
      </c>
      <c r="P2464" s="4" t="s">
        <v>57</v>
      </c>
      <c r="Q2464" s="11">
        <v>0</v>
      </c>
      <c r="R2464" s="4"/>
      <c r="S2464" s="12"/>
    </row>
    <row r="2465" spans="1:19" x14ac:dyDescent="0.25">
      <c r="A2465" s="9" t="s">
        <v>1117</v>
      </c>
      <c r="B2465" s="9" t="s">
        <v>291</v>
      </c>
      <c r="C2465" s="4">
        <v>201005551</v>
      </c>
      <c r="D2465" s="4" t="s">
        <v>1177</v>
      </c>
      <c r="E2465" s="4" t="str">
        <f>"113002010"</f>
        <v>113002010</v>
      </c>
      <c r="F2465" s="10">
        <v>40445</v>
      </c>
      <c r="G2465" s="11">
        <v>376</v>
      </c>
      <c r="H2465" s="11">
        <v>0</v>
      </c>
      <c r="I2465" s="4"/>
      <c r="J2465" s="4"/>
      <c r="K2465" s="11">
        <v>0</v>
      </c>
      <c r="L2465" s="4"/>
      <c r="M2465" s="4"/>
      <c r="N2465" s="11">
        <v>376</v>
      </c>
      <c r="O2465" s="4" t="s">
        <v>56</v>
      </c>
      <c r="P2465" s="4" t="s">
        <v>57</v>
      </c>
      <c r="Q2465" s="11">
        <v>0</v>
      </c>
      <c r="R2465" s="4"/>
      <c r="S2465" s="12"/>
    </row>
    <row r="2466" spans="1:19" x14ac:dyDescent="0.25">
      <c r="A2466" s="9" t="s">
        <v>1117</v>
      </c>
      <c r="B2466" s="9" t="s">
        <v>291</v>
      </c>
      <c r="C2466" s="4">
        <v>201005581</v>
      </c>
      <c r="D2466" s="4" t="s">
        <v>1667</v>
      </c>
      <c r="E2466" s="4" t="str">
        <f>"113802010"</f>
        <v>113802010</v>
      </c>
      <c r="F2466" s="10">
        <v>40449</v>
      </c>
      <c r="G2466" s="11">
        <v>350</v>
      </c>
      <c r="H2466" s="11">
        <v>0</v>
      </c>
      <c r="I2466" s="4"/>
      <c r="J2466" s="4"/>
      <c r="K2466" s="11">
        <v>0</v>
      </c>
      <c r="L2466" s="4"/>
      <c r="M2466" s="4"/>
      <c r="N2466" s="11">
        <v>350</v>
      </c>
      <c r="O2466" s="4" t="s">
        <v>56</v>
      </c>
      <c r="P2466" s="4" t="s">
        <v>57</v>
      </c>
      <c r="Q2466" s="11">
        <v>0</v>
      </c>
      <c r="R2466" s="4"/>
      <c r="S2466" s="12"/>
    </row>
    <row r="2467" spans="1:19" x14ac:dyDescent="0.25">
      <c r="A2467" s="9" t="s">
        <v>1117</v>
      </c>
      <c r="B2467" s="9" t="s">
        <v>291</v>
      </c>
      <c r="C2467" s="4">
        <v>201005584</v>
      </c>
      <c r="D2467" s="4" t="s">
        <v>1264</v>
      </c>
      <c r="E2467" s="4" t="str">
        <f>"111352010"</f>
        <v>111352010</v>
      </c>
      <c r="F2467" s="10">
        <v>40437</v>
      </c>
      <c r="G2467" s="11">
        <v>988.36</v>
      </c>
      <c r="H2467" s="11">
        <v>0</v>
      </c>
      <c r="I2467" s="4"/>
      <c r="J2467" s="4"/>
      <c r="K2467" s="11">
        <v>0</v>
      </c>
      <c r="L2467" s="4"/>
      <c r="M2467" s="4"/>
      <c r="N2467" s="11">
        <v>988.36</v>
      </c>
      <c r="O2467" s="4" t="s">
        <v>56</v>
      </c>
      <c r="P2467" s="4" t="s">
        <v>57</v>
      </c>
      <c r="Q2467" s="11">
        <v>0</v>
      </c>
      <c r="R2467" s="4"/>
      <c r="S2467" s="12"/>
    </row>
    <row r="2468" spans="1:19" x14ac:dyDescent="0.25">
      <c r="A2468" s="9" t="s">
        <v>1117</v>
      </c>
      <c r="B2468" s="9" t="s">
        <v>291</v>
      </c>
      <c r="C2468" s="4">
        <v>201005605</v>
      </c>
      <c r="D2468" s="4" t="s">
        <v>1668</v>
      </c>
      <c r="E2468" s="4" t="str">
        <f>"111912010"</f>
        <v>111912010</v>
      </c>
      <c r="F2468" s="10">
        <v>40443</v>
      </c>
      <c r="G2468" s="11">
        <v>24</v>
      </c>
      <c r="H2468" s="11">
        <v>0</v>
      </c>
      <c r="I2468" s="4"/>
      <c r="J2468" s="4"/>
      <c r="K2468" s="11">
        <v>0</v>
      </c>
      <c r="L2468" s="4"/>
      <c r="M2468" s="4"/>
      <c r="N2468" s="11">
        <v>24</v>
      </c>
      <c r="O2468" s="4" t="s">
        <v>56</v>
      </c>
      <c r="P2468" s="4" t="s">
        <v>57</v>
      </c>
      <c r="Q2468" s="11">
        <v>0</v>
      </c>
      <c r="R2468" s="4"/>
      <c r="S2468" s="12"/>
    </row>
    <row r="2469" spans="1:19" x14ac:dyDescent="0.25">
      <c r="A2469" s="9" t="s">
        <v>1117</v>
      </c>
      <c r="B2469" s="9" t="s">
        <v>291</v>
      </c>
      <c r="C2469" s="4">
        <v>201005621</v>
      </c>
      <c r="D2469" s="4" t="s">
        <v>1452</v>
      </c>
      <c r="E2469" s="4" t="str">
        <f>"111812010"</f>
        <v>111812010</v>
      </c>
      <c r="F2469" s="10">
        <v>40443</v>
      </c>
      <c r="G2469" s="11">
        <v>24</v>
      </c>
      <c r="H2469" s="11">
        <v>0</v>
      </c>
      <c r="I2469" s="4"/>
      <c r="J2469" s="4"/>
      <c r="K2469" s="11">
        <v>0</v>
      </c>
      <c r="L2469" s="4"/>
      <c r="M2469" s="4"/>
      <c r="N2469" s="11">
        <v>24</v>
      </c>
      <c r="O2469" s="4" t="s">
        <v>56</v>
      </c>
      <c r="P2469" s="4" t="s">
        <v>57</v>
      </c>
      <c r="Q2469" s="11">
        <v>0</v>
      </c>
      <c r="R2469" s="4"/>
      <c r="S2469" s="12"/>
    </row>
    <row r="2470" spans="1:19" x14ac:dyDescent="0.25">
      <c r="A2470" s="9" t="s">
        <v>1117</v>
      </c>
      <c r="B2470" s="9" t="s">
        <v>291</v>
      </c>
      <c r="C2470" s="4">
        <v>201005650</v>
      </c>
      <c r="D2470" s="4" t="s">
        <v>1578</v>
      </c>
      <c r="E2470" s="4" t="str">
        <f>"113202010"</f>
        <v>113202010</v>
      </c>
      <c r="F2470" s="10">
        <v>40445</v>
      </c>
      <c r="G2470" s="11">
        <v>350</v>
      </c>
      <c r="H2470" s="11">
        <v>0</v>
      </c>
      <c r="I2470" s="4"/>
      <c r="J2470" s="4"/>
      <c r="K2470" s="11">
        <v>0</v>
      </c>
      <c r="L2470" s="4"/>
      <c r="M2470" s="4"/>
      <c r="N2470" s="11">
        <v>350</v>
      </c>
      <c r="O2470" s="4" t="s">
        <v>56</v>
      </c>
      <c r="P2470" s="4" t="s">
        <v>57</v>
      </c>
      <c r="Q2470" s="11">
        <v>0</v>
      </c>
      <c r="R2470" s="4"/>
      <c r="S2470" s="12"/>
    </row>
    <row r="2471" spans="1:19" x14ac:dyDescent="0.25">
      <c r="A2471" s="9" t="s">
        <v>1117</v>
      </c>
      <c r="B2471" s="9" t="s">
        <v>291</v>
      </c>
      <c r="C2471" s="4">
        <v>201005657</v>
      </c>
      <c r="D2471" s="4"/>
      <c r="E2471" s="4" t="str">
        <f>"113222010"</f>
        <v>113222010</v>
      </c>
      <c r="F2471" s="10">
        <v>40445</v>
      </c>
      <c r="G2471" s="11">
        <v>350</v>
      </c>
      <c r="H2471" s="11">
        <v>0</v>
      </c>
      <c r="I2471" s="4"/>
      <c r="J2471" s="4"/>
      <c r="K2471" s="11">
        <v>0</v>
      </c>
      <c r="L2471" s="4"/>
      <c r="M2471" s="4"/>
      <c r="N2471" s="11">
        <v>350</v>
      </c>
      <c r="O2471" s="4" t="s">
        <v>56</v>
      </c>
      <c r="P2471" s="4" t="s">
        <v>57</v>
      </c>
      <c r="Q2471" s="11">
        <v>0</v>
      </c>
      <c r="R2471" s="4"/>
      <c r="S2471" s="12"/>
    </row>
    <row r="2472" spans="1:19" x14ac:dyDescent="0.25">
      <c r="A2472" s="9" t="s">
        <v>1117</v>
      </c>
      <c r="B2472" s="9" t="s">
        <v>291</v>
      </c>
      <c r="C2472" s="4">
        <v>201005659</v>
      </c>
      <c r="D2472" s="4"/>
      <c r="E2472" s="4" t="str">
        <f>"113742010"</f>
        <v>113742010</v>
      </c>
      <c r="F2472" s="10">
        <v>40449</v>
      </c>
      <c r="G2472" s="11">
        <v>350</v>
      </c>
      <c r="H2472" s="11">
        <v>0</v>
      </c>
      <c r="I2472" s="4"/>
      <c r="J2472" s="4"/>
      <c r="K2472" s="11">
        <v>0</v>
      </c>
      <c r="L2472" s="4"/>
      <c r="M2472" s="4"/>
      <c r="N2472" s="11">
        <v>350</v>
      </c>
      <c r="O2472" s="4" t="s">
        <v>56</v>
      </c>
      <c r="P2472" s="4" t="s">
        <v>57</v>
      </c>
      <c r="Q2472" s="11">
        <v>0</v>
      </c>
      <c r="R2472" s="4"/>
      <c r="S2472" s="12"/>
    </row>
    <row r="2473" spans="1:19" x14ac:dyDescent="0.25">
      <c r="A2473" s="9" t="s">
        <v>1117</v>
      </c>
      <c r="B2473" s="9" t="s">
        <v>291</v>
      </c>
      <c r="C2473" s="4">
        <v>201005681</v>
      </c>
      <c r="D2473" s="4" t="s">
        <v>1242</v>
      </c>
      <c r="E2473" s="4" t="str">
        <f>"113702010"</f>
        <v>113702010</v>
      </c>
      <c r="F2473" s="10">
        <v>40449</v>
      </c>
      <c r="G2473" s="11">
        <v>350</v>
      </c>
      <c r="H2473" s="11">
        <v>0</v>
      </c>
      <c r="I2473" s="4"/>
      <c r="J2473" s="4"/>
      <c r="K2473" s="11">
        <v>0</v>
      </c>
      <c r="L2473" s="4"/>
      <c r="M2473" s="4"/>
      <c r="N2473" s="11">
        <v>350</v>
      </c>
      <c r="O2473" s="4" t="s">
        <v>56</v>
      </c>
      <c r="P2473" s="4" t="s">
        <v>57</v>
      </c>
      <c r="Q2473" s="11">
        <v>0</v>
      </c>
      <c r="R2473" s="4"/>
      <c r="S2473" s="12"/>
    </row>
    <row r="2474" spans="1:19" x14ac:dyDescent="0.25">
      <c r="A2474" s="9" t="s">
        <v>1117</v>
      </c>
      <c r="B2474" s="9" t="s">
        <v>291</v>
      </c>
      <c r="C2474" s="4">
        <v>201005687</v>
      </c>
      <c r="D2474" s="4" t="s">
        <v>1407</v>
      </c>
      <c r="E2474" s="4" t="str">
        <f>"113662010"</f>
        <v>113662010</v>
      </c>
      <c r="F2474" s="10">
        <v>40450</v>
      </c>
      <c r="G2474" s="11">
        <v>350</v>
      </c>
      <c r="H2474" s="11">
        <v>0</v>
      </c>
      <c r="I2474" s="4"/>
      <c r="J2474" s="4"/>
      <c r="K2474" s="11">
        <v>0</v>
      </c>
      <c r="L2474" s="4"/>
      <c r="M2474" s="4"/>
      <c r="N2474" s="11">
        <v>350</v>
      </c>
      <c r="O2474" s="4" t="s">
        <v>56</v>
      </c>
      <c r="P2474" s="4" t="s">
        <v>57</v>
      </c>
      <c r="Q2474" s="11">
        <v>0</v>
      </c>
      <c r="R2474" s="4"/>
      <c r="S2474" s="12"/>
    </row>
    <row r="2475" spans="1:19" x14ac:dyDescent="0.25">
      <c r="A2475" s="9" t="s">
        <v>1117</v>
      </c>
      <c r="B2475" s="9" t="s">
        <v>291</v>
      </c>
      <c r="C2475" s="4">
        <v>201005689</v>
      </c>
      <c r="D2475" s="4" t="s">
        <v>1164</v>
      </c>
      <c r="E2475" s="4" t="str">
        <f>"114732010"</f>
        <v>114732010</v>
      </c>
      <c r="F2475" s="10">
        <v>40450</v>
      </c>
      <c r="G2475" s="11">
        <v>350</v>
      </c>
      <c r="H2475" s="11">
        <v>0</v>
      </c>
      <c r="I2475" s="4"/>
      <c r="J2475" s="4"/>
      <c r="K2475" s="11">
        <v>0</v>
      </c>
      <c r="L2475" s="4"/>
      <c r="M2475" s="4"/>
      <c r="N2475" s="11">
        <v>350</v>
      </c>
      <c r="O2475" s="4" t="s">
        <v>56</v>
      </c>
      <c r="P2475" s="4" t="s">
        <v>57</v>
      </c>
      <c r="Q2475" s="11">
        <v>0</v>
      </c>
      <c r="R2475" s="4"/>
      <c r="S2475" s="12"/>
    </row>
    <row r="2476" spans="1:19" x14ac:dyDescent="0.25">
      <c r="A2476" s="9" t="s">
        <v>1117</v>
      </c>
      <c r="B2476" s="9" t="s">
        <v>291</v>
      </c>
      <c r="C2476" s="4">
        <v>201005690</v>
      </c>
      <c r="D2476" s="4" t="s">
        <v>1669</v>
      </c>
      <c r="E2476" s="4" t="str">
        <f>"114672010"</f>
        <v>114672010</v>
      </c>
      <c r="F2476" s="10">
        <v>40450</v>
      </c>
      <c r="G2476" s="11">
        <v>368.96</v>
      </c>
      <c r="H2476" s="11">
        <v>0</v>
      </c>
      <c r="I2476" s="4"/>
      <c r="J2476" s="4"/>
      <c r="K2476" s="11">
        <v>0</v>
      </c>
      <c r="L2476" s="4"/>
      <c r="M2476" s="4"/>
      <c r="N2476" s="11">
        <v>368.96</v>
      </c>
      <c r="O2476" s="4" t="s">
        <v>56</v>
      </c>
      <c r="P2476" s="4" t="s">
        <v>57</v>
      </c>
      <c r="Q2476" s="11">
        <v>0</v>
      </c>
      <c r="R2476" s="4"/>
      <c r="S2476" s="12"/>
    </row>
    <row r="2477" spans="1:19" x14ac:dyDescent="0.25">
      <c r="A2477" s="9" t="s">
        <v>1117</v>
      </c>
      <c r="B2477" s="9" t="s">
        <v>291</v>
      </c>
      <c r="C2477" s="4">
        <v>201005693</v>
      </c>
      <c r="D2477" s="4" t="s">
        <v>1168</v>
      </c>
      <c r="E2477" s="4" t="str">
        <f>"115392010"</f>
        <v>115392010</v>
      </c>
      <c r="F2477" s="10">
        <v>40450</v>
      </c>
      <c r="G2477" s="11">
        <v>350</v>
      </c>
      <c r="H2477" s="11">
        <v>0</v>
      </c>
      <c r="I2477" s="4"/>
      <c r="J2477" s="4"/>
      <c r="K2477" s="11">
        <v>0</v>
      </c>
      <c r="L2477" s="4"/>
      <c r="M2477" s="4"/>
      <c r="N2477" s="11">
        <v>350</v>
      </c>
      <c r="O2477" s="4" t="s">
        <v>56</v>
      </c>
      <c r="P2477" s="4" t="s">
        <v>57</v>
      </c>
      <c r="Q2477" s="11">
        <v>0</v>
      </c>
      <c r="R2477" s="4"/>
      <c r="S2477" s="12"/>
    </row>
    <row r="2478" spans="1:19" x14ac:dyDescent="0.25">
      <c r="A2478" s="9" t="s">
        <v>1117</v>
      </c>
      <c r="B2478" s="9" t="s">
        <v>291</v>
      </c>
      <c r="C2478" s="4">
        <v>201005703</v>
      </c>
      <c r="D2478" s="4"/>
      <c r="E2478" s="4" t="str">
        <f>"113942010"</f>
        <v>113942010</v>
      </c>
      <c r="F2478" s="10">
        <v>40449</v>
      </c>
      <c r="G2478" s="11">
        <v>350</v>
      </c>
      <c r="H2478" s="11">
        <v>0</v>
      </c>
      <c r="I2478" s="4"/>
      <c r="J2478" s="4"/>
      <c r="K2478" s="11">
        <v>0</v>
      </c>
      <c r="L2478" s="4"/>
      <c r="M2478" s="4"/>
      <c r="N2478" s="11">
        <v>350</v>
      </c>
      <c r="O2478" s="4" t="s">
        <v>56</v>
      </c>
      <c r="P2478" s="4" t="s">
        <v>57</v>
      </c>
      <c r="Q2478" s="11">
        <v>0</v>
      </c>
      <c r="R2478" s="4"/>
      <c r="S2478" s="12"/>
    </row>
    <row r="2479" spans="1:19" x14ac:dyDescent="0.25">
      <c r="A2479" s="9" t="s">
        <v>1117</v>
      </c>
      <c r="B2479" s="9" t="s">
        <v>291</v>
      </c>
      <c r="C2479" s="4">
        <v>201005704</v>
      </c>
      <c r="D2479" s="4" t="s">
        <v>1242</v>
      </c>
      <c r="E2479" s="4" t="str">
        <f>"113982010"</f>
        <v>113982010</v>
      </c>
      <c r="F2479" s="10">
        <v>40449</v>
      </c>
      <c r="G2479" s="11">
        <v>350</v>
      </c>
      <c r="H2479" s="11">
        <v>0</v>
      </c>
      <c r="I2479" s="4"/>
      <c r="J2479" s="4"/>
      <c r="K2479" s="11">
        <v>0</v>
      </c>
      <c r="L2479" s="4"/>
      <c r="M2479" s="4"/>
      <c r="N2479" s="11">
        <v>350</v>
      </c>
      <c r="O2479" s="4" t="s">
        <v>56</v>
      </c>
      <c r="P2479" s="4" t="s">
        <v>57</v>
      </c>
      <c r="Q2479" s="11">
        <v>0</v>
      </c>
      <c r="R2479" s="4"/>
      <c r="S2479" s="12"/>
    </row>
    <row r="2480" spans="1:19" x14ac:dyDescent="0.25">
      <c r="A2480" s="9" t="s">
        <v>1117</v>
      </c>
      <c r="B2480" s="9" t="s">
        <v>291</v>
      </c>
      <c r="C2480" s="4">
        <v>201005705</v>
      </c>
      <c r="D2480" s="4" t="s">
        <v>1670</v>
      </c>
      <c r="E2480" s="4" t="str">
        <f>"113922010"</f>
        <v>113922010</v>
      </c>
      <c r="F2480" s="10">
        <v>40449</v>
      </c>
      <c r="G2480" s="11">
        <v>350</v>
      </c>
      <c r="H2480" s="11">
        <v>0</v>
      </c>
      <c r="I2480" s="4"/>
      <c r="J2480" s="4"/>
      <c r="K2480" s="11">
        <v>0</v>
      </c>
      <c r="L2480" s="4"/>
      <c r="M2480" s="4"/>
      <c r="N2480" s="11">
        <v>350</v>
      </c>
      <c r="O2480" s="4" t="s">
        <v>56</v>
      </c>
      <c r="P2480" s="4" t="s">
        <v>57</v>
      </c>
      <c r="Q2480" s="11">
        <v>0</v>
      </c>
      <c r="R2480" s="4"/>
      <c r="S2480" s="12"/>
    </row>
    <row r="2481" spans="1:19" x14ac:dyDescent="0.25">
      <c r="A2481" s="9" t="s">
        <v>1117</v>
      </c>
      <c r="B2481" s="9" t="s">
        <v>291</v>
      </c>
      <c r="C2481" s="4">
        <v>201005709</v>
      </c>
      <c r="D2481" s="4" t="s">
        <v>1527</v>
      </c>
      <c r="E2481" s="4" t="str">
        <f>"114472010"</f>
        <v>114472010</v>
      </c>
      <c r="F2481" s="10">
        <v>40450</v>
      </c>
      <c r="G2481" s="11">
        <v>353</v>
      </c>
      <c r="H2481" s="11">
        <v>0</v>
      </c>
      <c r="I2481" s="4"/>
      <c r="J2481" s="4"/>
      <c r="K2481" s="11">
        <v>0</v>
      </c>
      <c r="L2481" s="4"/>
      <c r="M2481" s="4"/>
      <c r="N2481" s="11">
        <v>353</v>
      </c>
      <c r="O2481" s="4" t="s">
        <v>56</v>
      </c>
      <c r="P2481" s="4" t="s">
        <v>57</v>
      </c>
      <c r="Q2481" s="11">
        <v>0</v>
      </c>
      <c r="R2481" s="4"/>
      <c r="S2481" s="12"/>
    </row>
    <row r="2482" spans="1:19" x14ac:dyDescent="0.25">
      <c r="A2482" s="9" t="s">
        <v>1117</v>
      </c>
      <c r="B2482" s="9" t="s">
        <v>291</v>
      </c>
      <c r="C2482" s="4">
        <v>201005711</v>
      </c>
      <c r="D2482" s="4" t="s">
        <v>1671</v>
      </c>
      <c r="E2482" s="4" t="str">
        <f>"114432010"</f>
        <v>114432010</v>
      </c>
      <c r="F2482" s="10">
        <v>40450</v>
      </c>
      <c r="G2482" s="11">
        <v>350</v>
      </c>
      <c r="H2482" s="11">
        <v>0</v>
      </c>
      <c r="I2482" s="4"/>
      <c r="J2482" s="4"/>
      <c r="K2482" s="11">
        <v>0</v>
      </c>
      <c r="L2482" s="4"/>
      <c r="M2482" s="4"/>
      <c r="N2482" s="11">
        <v>350</v>
      </c>
      <c r="O2482" s="4" t="s">
        <v>56</v>
      </c>
      <c r="P2482" s="4" t="s">
        <v>57</v>
      </c>
      <c r="Q2482" s="11">
        <v>0</v>
      </c>
      <c r="R2482" s="4"/>
      <c r="S2482" s="12"/>
    </row>
    <row r="2483" spans="1:19" x14ac:dyDescent="0.25">
      <c r="A2483" s="9" t="s">
        <v>1117</v>
      </c>
      <c r="B2483" s="9" t="s">
        <v>291</v>
      </c>
      <c r="C2483" s="4">
        <v>201005713</v>
      </c>
      <c r="D2483" s="4" t="s">
        <v>1524</v>
      </c>
      <c r="E2483" s="4" t="str">
        <f>"114912010"</f>
        <v>114912010</v>
      </c>
      <c r="F2483" s="10">
        <v>40450</v>
      </c>
      <c r="G2483" s="11">
        <v>379.31</v>
      </c>
      <c r="H2483" s="11">
        <v>0</v>
      </c>
      <c r="I2483" s="4"/>
      <c r="J2483" s="4"/>
      <c r="K2483" s="11">
        <v>0</v>
      </c>
      <c r="L2483" s="4"/>
      <c r="M2483" s="4"/>
      <c r="N2483" s="11">
        <v>379.31</v>
      </c>
      <c r="O2483" s="4" t="s">
        <v>56</v>
      </c>
      <c r="P2483" s="4" t="s">
        <v>57</v>
      </c>
      <c r="Q2483" s="11">
        <v>0</v>
      </c>
      <c r="R2483" s="4"/>
      <c r="S2483" s="12"/>
    </row>
    <row r="2484" spans="1:19" x14ac:dyDescent="0.25">
      <c r="A2484" s="9" t="s">
        <v>1117</v>
      </c>
      <c r="B2484" s="9" t="s">
        <v>291</v>
      </c>
      <c r="C2484" s="4">
        <v>201005718</v>
      </c>
      <c r="D2484" s="4"/>
      <c r="E2484" s="4" t="str">
        <f>"114632010"</f>
        <v>114632010</v>
      </c>
      <c r="F2484" s="10">
        <v>40450</v>
      </c>
      <c r="G2484" s="11">
        <v>350</v>
      </c>
      <c r="H2484" s="11">
        <v>0</v>
      </c>
      <c r="I2484" s="4"/>
      <c r="J2484" s="4"/>
      <c r="K2484" s="11">
        <v>0</v>
      </c>
      <c r="L2484" s="4"/>
      <c r="M2484" s="4"/>
      <c r="N2484" s="11">
        <v>350</v>
      </c>
      <c r="O2484" s="4" t="s">
        <v>56</v>
      </c>
      <c r="P2484" s="4" t="s">
        <v>57</v>
      </c>
      <c r="Q2484" s="11">
        <v>0</v>
      </c>
      <c r="R2484" s="4"/>
      <c r="S2484" s="12"/>
    </row>
    <row r="2485" spans="1:19" x14ac:dyDescent="0.25">
      <c r="A2485" s="9" t="s">
        <v>1117</v>
      </c>
      <c r="B2485" s="9" t="s">
        <v>291</v>
      </c>
      <c r="C2485" s="4">
        <v>201005719</v>
      </c>
      <c r="D2485" s="4" t="s">
        <v>1672</v>
      </c>
      <c r="E2485" s="4" t="str">
        <f>"114192010"</f>
        <v>114192010</v>
      </c>
      <c r="F2485" s="10">
        <v>40449</v>
      </c>
      <c r="G2485" s="11">
        <v>60000</v>
      </c>
      <c r="H2485" s="11">
        <v>60000</v>
      </c>
      <c r="I2485" s="4" t="s">
        <v>30</v>
      </c>
      <c r="J2485" s="4" t="s">
        <v>31</v>
      </c>
      <c r="K2485" s="11">
        <v>0</v>
      </c>
      <c r="L2485" s="4"/>
      <c r="M2485" s="4"/>
      <c r="N2485" s="11">
        <v>0</v>
      </c>
      <c r="O2485" s="4"/>
      <c r="P2485" s="4"/>
      <c r="Q2485" s="11">
        <v>0</v>
      </c>
      <c r="R2485" s="4"/>
      <c r="S2485" s="12"/>
    </row>
    <row r="2486" spans="1:19" x14ac:dyDescent="0.25">
      <c r="A2486" s="9" t="s">
        <v>1117</v>
      </c>
      <c r="B2486" s="9" t="s">
        <v>291</v>
      </c>
      <c r="C2486" s="4">
        <v>201005722</v>
      </c>
      <c r="D2486" s="4" t="s">
        <v>1577</v>
      </c>
      <c r="E2486" s="4" t="str">
        <f>"115662010"</f>
        <v>115662010</v>
      </c>
      <c r="F2486" s="10">
        <v>40450</v>
      </c>
      <c r="G2486" s="11">
        <v>350</v>
      </c>
      <c r="H2486" s="11">
        <v>0</v>
      </c>
      <c r="I2486" s="4"/>
      <c r="J2486" s="4"/>
      <c r="K2486" s="11">
        <v>0</v>
      </c>
      <c r="L2486" s="4"/>
      <c r="M2486" s="4"/>
      <c r="N2486" s="11">
        <v>350</v>
      </c>
      <c r="O2486" s="4" t="s">
        <v>56</v>
      </c>
      <c r="P2486" s="4" t="s">
        <v>57</v>
      </c>
      <c r="Q2486" s="11">
        <v>0</v>
      </c>
      <c r="R2486" s="4"/>
      <c r="S2486" s="12"/>
    </row>
    <row r="2487" spans="1:19" x14ac:dyDescent="0.25">
      <c r="A2487" s="9" t="s">
        <v>1117</v>
      </c>
      <c r="B2487" s="9" t="s">
        <v>291</v>
      </c>
      <c r="C2487" s="4">
        <v>201005724</v>
      </c>
      <c r="D2487" s="4" t="s">
        <v>1673</v>
      </c>
      <c r="E2487" s="4" t="str">
        <f>"115642010"</f>
        <v>115642010</v>
      </c>
      <c r="F2487" s="10">
        <v>40450</v>
      </c>
      <c r="G2487" s="11">
        <v>350</v>
      </c>
      <c r="H2487" s="11">
        <v>0</v>
      </c>
      <c r="I2487" s="4"/>
      <c r="J2487" s="4"/>
      <c r="K2487" s="11">
        <v>0</v>
      </c>
      <c r="L2487" s="4"/>
      <c r="M2487" s="4"/>
      <c r="N2487" s="11">
        <v>350</v>
      </c>
      <c r="O2487" s="4" t="s">
        <v>56</v>
      </c>
      <c r="P2487" s="4" t="s">
        <v>57</v>
      </c>
      <c r="Q2487" s="11">
        <v>0</v>
      </c>
      <c r="R2487" s="4"/>
      <c r="S2487" s="12"/>
    </row>
    <row r="2488" spans="1:19" x14ac:dyDescent="0.25">
      <c r="A2488" s="9" t="s">
        <v>1117</v>
      </c>
      <c r="B2488" s="9" t="s">
        <v>291</v>
      </c>
      <c r="C2488" s="4">
        <v>201005725</v>
      </c>
      <c r="D2488" s="4" t="s">
        <v>1488</v>
      </c>
      <c r="E2488" s="4" t="str">
        <f>"114592010"</f>
        <v>114592010</v>
      </c>
      <c r="F2488" s="10">
        <v>40450</v>
      </c>
      <c r="G2488" s="11">
        <v>23.1</v>
      </c>
      <c r="H2488" s="11">
        <v>0</v>
      </c>
      <c r="I2488" s="4"/>
      <c r="J2488" s="4"/>
      <c r="K2488" s="11">
        <v>0</v>
      </c>
      <c r="L2488" s="4"/>
      <c r="M2488" s="4"/>
      <c r="N2488" s="11">
        <v>23.1</v>
      </c>
      <c r="O2488" s="4" t="s">
        <v>56</v>
      </c>
      <c r="P2488" s="4" t="s">
        <v>57</v>
      </c>
      <c r="Q2488" s="11">
        <v>0</v>
      </c>
      <c r="R2488" s="4"/>
      <c r="S2488" s="12"/>
    </row>
    <row r="2489" spans="1:19" x14ac:dyDescent="0.25">
      <c r="A2489" s="9" t="s">
        <v>1117</v>
      </c>
      <c r="B2489" s="9" t="s">
        <v>291</v>
      </c>
      <c r="C2489" s="4">
        <v>201005726</v>
      </c>
      <c r="D2489" s="4" t="s">
        <v>1488</v>
      </c>
      <c r="E2489" s="4" t="str">
        <f>"115472010"</f>
        <v>115472010</v>
      </c>
      <c r="F2489" s="10">
        <v>40450</v>
      </c>
      <c r="G2489" s="11">
        <v>25.9</v>
      </c>
      <c r="H2489" s="11">
        <v>0</v>
      </c>
      <c r="I2489" s="4"/>
      <c r="J2489" s="4"/>
      <c r="K2489" s="11">
        <v>0</v>
      </c>
      <c r="L2489" s="4"/>
      <c r="M2489" s="4"/>
      <c r="N2489" s="11">
        <v>25.9</v>
      </c>
      <c r="O2489" s="4" t="s">
        <v>56</v>
      </c>
      <c r="P2489" s="4" t="s">
        <v>57</v>
      </c>
      <c r="Q2489" s="11">
        <v>0</v>
      </c>
      <c r="R2489" s="4"/>
      <c r="S2489" s="12"/>
    </row>
    <row r="2490" spans="1:19" x14ac:dyDescent="0.25">
      <c r="A2490" s="9" t="s">
        <v>1117</v>
      </c>
      <c r="B2490" s="9" t="s">
        <v>291</v>
      </c>
      <c r="C2490" s="4">
        <v>201005732</v>
      </c>
      <c r="D2490" s="4" t="s">
        <v>1488</v>
      </c>
      <c r="E2490" s="4" t="str">
        <f>"114812010"</f>
        <v>114812010</v>
      </c>
      <c r="F2490" s="10">
        <v>40450</v>
      </c>
      <c r="G2490" s="11">
        <v>371.4</v>
      </c>
      <c r="H2490" s="11">
        <v>0</v>
      </c>
      <c r="I2490" s="4"/>
      <c r="J2490" s="4"/>
      <c r="K2490" s="11">
        <v>0</v>
      </c>
      <c r="L2490" s="4"/>
      <c r="M2490" s="4"/>
      <c r="N2490" s="11">
        <v>371.4</v>
      </c>
      <c r="O2490" s="4" t="s">
        <v>56</v>
      </c>
      <c r="P2490" s="4" t="s">
        <v>57</v>
      </c>
      <c r="Q2490" s="11">
        <v>0</v>
      </c>
      <c r="R2490" s="4"/>
      <c r="S2490" s="12"/>
    </row>
    <row r="2491" spans="1:19" x14ac:dyDescent="0.25">
      <c r="A2491" s="9" t="s">
        <v>1117</v>
      </c>
      <c r="B2491" s="9" t="s">
        <v>291</v>
      </c>
      <c r="C2491" s="4">
        <v>201005735</v>
      </c>
      <c r="D2491" s="4" t="s">
        <v>1674</v>
      </c>
      <c r="E2491" s="4" t="str">
        <f>"115622010"</f>
        <v>115622010</v>
      </c>
      <c r="F2491" s="10">
        <v>40450</v>
      </c>
      <c r="G2491" s="11">
        <v>350</v>
      </c>
      <c r="H2491" s="11">
        <v>0</v>
      </c>
      <c r="I2491" s="4"/>
      <c r="J2491" s="4"/>
      <c r="K2491" s="11">
        <v>0</v>
      </c>
      <c r="L2491" s="4"/>
      <c r="M2491" s="4"/>
      <c r="N2491" s="11">
        <v>350</v>
      </c>
      <c r="O2491" s="4" t="s">
        <v>56</v>
      </c>
      <c r="P2491" s="4" t="s">
        <v>57</v>
      </c>
      <c r="Q2491" s="11">
        <v>0</v>
      </c>
      <c r="R2491" s="4"/>
      <c r="S2491" s="12"/>
    </row>
    <row r="2492" spans="1:19" x14ac:dyDescent="0.25">
      <c r="A2492" s="9" t="s">
        <v>1117</v>
      </c>
      <c r="B2492" s="9" t="s">
        <v>291</v>
      </c>
      <c r="C2492" s="4">
        <v>201005736</v>
      </c>
      <c r="D2492" s="4" t="s">
        <v>1462</v>
      </c>
      <c r="E2492" s="4" t="str">
        <f>"115602010"</f>
        <v>115602010</v>
      </c>
      <c r="F2492" s="10">
        <v>40450</v>
      </c>
      <c r="G2492" s="11">
        <v>350</v>
      </c>
      <c r="H2492" s="11">
        <v>0</v>
      </c>
      <c r="I2492" s="4"/>
      <c r="J2492" s="4"/>
      <c r="K2492" s="11">
        <v>0</v>
      </c>
      <c r="L2492" s="4"/>
      <c r="M2492" s="4"/>
      <c r="N2492" s="11">
        <v>350</v>
      </c>
      <c r="O2492" s="4" t="s">
        <v>56</v>
      </c>
      <c r="P2492" s="4" t="s">
        <v>57</v>
      </c>
      <c r="Q2492" s="11">
        <v>0</v>
      </c>
      <c r="R2492" s="4"/>
      <c r="S2492" s="12"/>
    </row>
    <row r="2493" spans="1:19" x14ac:dyDescent="0.25">
      <c r="A2493" s="9" t="s">
        <v>1117</v>
      </c>
      <c r="B2493" s="9" t="s">
        <v>291</v>
      </c>
      <c r="C2493" s="4">
        <v>201005756</v>
      </c>
      <c r="D2493" s="4" t="s">
        <v>1488</v>
      </c>
      <c r="E2493" s="4" t="str">
        <f>"115432010"</f>
        <v>115432010</v>
      </c>
      <c r="F2493" s="10">
        <v>40450</v>
      </c>
      <c r="G2493" s="11">
        <v>20.399999999999999</v>
      </c>
      <c r="H2493" s="11">
        <v>0</v>
      </c>
      <c r="I2493" s="4"/>
      <c r="J2493" s="4"/>
      <c r="K2493" s="11">
        <v>0</v>
      </c>
      <c r="L2493" s="4"/>
      <c r="M2493" s="4"/>
      <c r="N2493" s="11">
        <v>20.399999999999999</v>
      </c>
      <c r="O2493" s="4" t="s">
        <v>56</v>
      </c>
      <c r="P2493" s="4" t="s">
        <v>57</v>
      </c>
      <c r="Q2493" s="11">
        <v>0</v>
      </c>
      <c r="R2493" s="4"/>
      <c r="S2493" s="12"/>
    </row>
    <row r="2494" spans="1:19" x14ac:dyDescent="0.25">
      <c r="A2494" s="9" t="s">
        <v>1117</v>
      </c>
      <c r="B2494" s="9" t="s">
        <v>291</v>
      </c>
      <c r="C2494" s="4">
        <v>201005757</v>
      </c>
      <c r="D2494" s="4" t="s">
        <v>1496</v>
      </c>
      <c r="E2494" s="4" t="str">
        <f>"115052010"</f>
        <v>115052010</v>
      </c>
      <c r="F2494" s="10">
        <v>40450</v>
      </c>
      <c r="G2494" s="11">
        <v>350</v>
      </c>
      <c r="H2494" s="11">
        <v>0</v>
      </c>
      <c r="I2494" s="4"/>
      <c r="J2494" s="4"/>
      <c r="K2494" s="11">
        <v>0</v>
      </c>
      <c r="L2494" s="4"/>
      <c r="M2494" s="4"/>
      <c r="N2494" s="11">
        <v>350</v>
      </c>
      <c r="O2494" s="4" t="s">
        <v>56</v>
      </c>
      <c r="P2494" s="4" t="s">
        <v>57</v>
      </c>
      <c r="Q2494" s="11">
        <v>0</v>
      </c>
      <c r="R2494" s="4"/>
      <c r="S2494" s="12"/>
    </row>
    <row r="2495" spans="1:19" x14ac:dyDescent="0.25">
      <c r="A2495" s="9" t="s">
        <v>1117</v>
      </c>
      <c r="B2495" s="9" t="s">
        <v>291</v>
      </c>
      <c r="C2495" s="4">
        <v>201005758</v>
      </c>
      <c r="D2495" s="4" t="s">
        <v>1174</v>
      </c>
      <c r="E2495" s="4" t="str">
        <f>"114972010"</f>
        <v>114972010</v>
      </c>
      <c r="F2495" s="10">
        <v>40450</v>
      </c>
      <c r="G2495" s="11">
        <v>350</v>
      </c>
      <c r="H2495" s="11">
        <v>0</v>
      </c>
      <c r="I2495" s="4"/>
      <c r="J2495" s="4"/>
      <c r="K2495" s="11">
        <v>0</v>
      </c>
      <c r="L2495" s="4"/>
      <c r="M2495" s="4"/>
      <c r="N2495" s="11">
        <v>350</v>
      </c>
      <c r="O2495" s="4" t="s">
        <v>56</v>
      </c>
      <c r="P2495" s="4" t="s">
        <v>57</v>
      </c>
      <c r="Q2495" s="11">
        <v>0</v>
      </c>
      <c r="R2495" s="4"/>
      <c r="S2495" s="12"/>
    </row>
    <row r="2496" spans="1:19" x14ac:dyDescent="0.25">
      <c r="A2496" s="9" t="s">
        <v>1117</v>
      </c>
      <c r="B2496" s="9" t="s">
        <v>291</v>
      </c>
      <c r="C2496" s="4">
        <v>201005759</v>
      </c>
      <c r="D2496" s="4" t="s">
        <v>1661</v>
      </c>
      <c r="E2496" s="4" t="str">
        <f>"115092010"</f>
        <v>115092010</v>
      </c>
      <c r="F2496" s="10">
        <v>40450</v>
      </c>
      <c r="G2496" s="11">
        <v>350</v>
      </c>
      <c r="H2496" s="11">
        <v>0</v>
      </c>
      <c r="I2496" s="4"/>
      <c r="J2496" s="4"/>
      <c r="K2496" s="11">
        <v>0</v>
      </c>
      <c r="L2496" s="4"/>
      <c r="M2496" s="4"/>
      <c r="N2496" s="11">
        <v>350</v>
      </c>
      <c r="O2496" s="4" t="s">
        <v>56</v>
      </c>
      <c r="P2496" s="4" t="s">
        <v>57</v>
      </c>
      <c r="Q2496" s="11">
        <v>0</v>
      </c>
      <c r="R2496" s="4"/>
      <c r="S2496" s="12"/>
    </row>
    <row r="2497" spans="1:19" x14ac:dyDescent="0.25">
      <c r="A2497" s="9" t="s">
        <v>1117</v>
      </c>
      <c r="B2497" s="9" t="s">
        <v>291</v>
      </c>
      <c r="C2497" s="4">
        <v>201005763</v>
      </c>
      <c r="D2497" s="4" t="s">
        <v>1233</v>
      </c>
      <c r="E2497" s="4" t="str">
        <f>"115072010"</f>
        <v>115072010</v>
      </c>
      <c r="F2497" s="10">
        <v>40450</v>
      </c>
      <c r="G2497" s="11">
        <v>350</v>
      </c>
      <c r="H2497" s="11">
        <v>0</v>
      </c>
      <c r="I2497" s="4"/>
      <c r="J2497" s="4"/>
      <c r="K2497" s="11">
        <v>0</v>
      </c>
      <c r="L2497" s="4"/>
      <c r="M2497" s="4"/>
      <c r="N2497" s="11">
        <v>350</v>
      </c>
      <c r="O2497" s="4" t="s">
        <v>56</v>
      </c>
      <c r="P2497" s="4" t="s">
        <v>57</v>
      </c>
      <c r="Q2497" s="11">
        <v>0</v>
      </c>
      <c r="R2497" s="4"/>
      <c r="S2497" s="12"/>
    </row>
    <row r="2498" spans="1:19" x14ac:dyDescent="0.25">
      <c r="A2498" s="9" t="s">
        <v>1117</v>
      </c>
      <c r="B2498" s="9" t="s">
        <v>291</v>
      </c>
      <c r="C2498" s="4">
        <v>201005775</v>
      </c>
      <c r="D2498" s="4" t="s">
        <v>1675</v>
      </c>
      <c r="E2498" s="4" t="str">
        <f>"115682010"</f>
        <v>115682010</v>
      </c>
      <c r="F2498" s="10">
        <v>40450</v>
      </c>
      <c r="G2498" s="11">
        <v>350</v>
      </c>
      <c r="H2498" s="11">
        <v>0</v>
      </c>
      <c r="I2498" s="4"/>
      <c r="J2498" s="4"/>
      <c r="K2498" s="11">
        <v>0</v>
      </c>
      <c r="L2498" s="4"/>
      <c r="M2498" s="4"/>
      <c r="N2498" s="11">
        <v>350</v>
      </c>
      <c r="O2498" s="4" t="s">
        <v>56</v>
      </c>
      <c r="P2498" s="4" t="s">
        <v>57</v>
      </c>
      <c r="Q2498" s="11">
        <v>0</v>
      </c>
      <c r="R2498" s="4"/>
      <c r="S2498" s="12"/>
    </row>
    <row r="2499" spans="1:19" x14ac:dyDescent="0.25">
      <c r="A2499" s="9" t="s">
        <v>1117</v>
      </c>
      <c r="B2499" s="9" t="s">
        <v>291</v>
      </c>
      <c r="C2499" s="4">
        <v>201005776</v>
      </c>
      <c r="D2499" s="4" t="s">
        <v>1242</v>
      </c>
      <c r="E2499" s="4" t="str">
        <f>"115862010"</f>
        <v>115862010</v>
      </c>
      <c r="F2499" s="10">
        <v>40450</v>
      </c>
      <c r="G2499" s="11">
        <v>350</v>
      </c>
      <c r="H2499" s="11">
        <v>0</v>
      </c>
      <c r="I2499" s="4"/>
      <c r="J2499" s="4"/>
      <c r="K2499" s="11">
        <v>0</v>
      </c>
      <c r="L2499" s="4"/>
      <c r="M2499" s="4"/>
      <c r="N2499" s="11">
        <v>350</v>
      </c>
      <c r="O2499" s="4" t="s">
        <v>56</v>
      </c>
      <c r="P2499" s="4" t="s">
        <v>57</v>
      </c>
      <c r="Q2499" s="11">
        <v>0</v>
      </c>
      <c r="R2499" s="4"/>
      <c r="S2499" s="12"/>
    </row>
    <row r="2500" spans="1:19" x14ac:dyDescent="0.25">
      <c r="A2500" s="9" t="s">
        <v>1117</v>
      </c>
      <c r="B2500" s="9" t="s">
        <v>291</v>
      </c>
      <c r="C2500" s="4">
        <v>201005777</v>
      </c>
      <c r="D2500" s="4" t="s">
        <v>1242</v>
      </c>
      <c r="E2500" s="4" t="str">
        <f>"115722010"</f>
        <v>115722010</v>
      </c>
      <c r="F2500" s="10">
        <v>40450</v>
      </c>
      <c r="G2500" s="11">
        <v>350</v>
      </c>
      <c r="H2500" s="11">
        <v>0</v>
      </c>
      <c r="I2500" s="4"/>
      <c r="J2500" s="4"/>
      <c r="K2500" s="11">
        <v>0</v>
      </c>
      <c r="L2500" s="4"/>
      <c r="M2500" s="4"/>
      <c r="N2500" s="11">
        <v>350</v>
      </c>
      <c r="O2500" s="4" t="s">
        <v>56</v>
      </c>
      <c r="P2500" s="4" t="s">
        <v>57</v>
      </c>
      <c r="Q2500" s="11">
        <v>0</v>
      </c>
      <c r="R2500" s="4"/>
      <c r="S2500" s="12"/>
    </row>
    <row r="2501" spans="1:19" x14ac:dyDescent="0.25">
      <c r="A2501" s="9" t="s">
        <v>1117</v>
      </c>
      <c r="B2501" s="9" t="s">
        <v>291</v>
      </c>
      <c r="C2501" s="4">
        <v>201005778</v>
      </c>
      <c r="D2501" s="4" t="s">
        <v>355</v>
      </c>
      <c r="E2501" s="4" t="str">
        <f>"115762010"</f>
        <v>115762010</v>
      </c>
      <c r="F2501" s="10">
        <v>40450</v>
      </c>
      <c r="G2501" s="11">
        <v>350</v>
      </c>
      <c r="H2501" s="11">
        <v>0</v>
      </c>
      <c r="I2501" s="4"/>
      <c r="J2501" s="4"/>
      <c r="K2501" s="11">
        <v>0</v>
      </c>
      <c r="L2501" s="4"/>
      <c r="M2501" s="4"/>
      <c r="N2501" s="11">
        <v>350</v>
      </c>
      <c r="O2501" s="4" t="s">
        <v>56</v>
      </c>
      <c r="P2501" s="4" t="s">
        <v>57</v>
      </c>
      <c r="Q2501" s="11">
        <v>0</v>
      </c>
      <c r="R2501" s="4"/>
      <c r="S2501" s="12"/>
    </row>
    <row r="2502" spans="1:19" x14ac:dyDescent="0.25">
      <c r="A2502" s="9" t="s">
        <v>1117</v>
      </c>
      <c r="B2502" s="9" t="s">
        <v>291</v>
      </c>
      <c r="C2502" s="4">
        <v>201005779</v>
      </c>
      <c r="D2502" s="4" t="s">
        <v>1258</v>
      </c>
      <c r="E2502" s="4" t="str">
        <f>"115742010"</f>
        <v>115742010</v>
      </c>
      <c r="F2502" s="10">
        <v>40450</v>
      </c>
      <c r="G2502" s="11">
        <v>350</v>
      </c>
      <c r="H2502" s="11">
        <v>0</v>
      </c>
      <c r="I2502" s="4"/>
      <c r="J2502" s="4"/>
      <c r="K2502" s="11">
        <v>0</v>
      </c>
      <c r="L2502" s="4"/>
      <c r="M2502" s="4"/>
      <c r="N2502" s="11">
        <v>350</v>
      </c>
      <c r="O2502" s="4" t="s">
        <v>56</v>
      </c>
      <c r="P2502" s="4" t="s">
        <v>57</v>
      </c>
      <c r="Q2502" s="11">
        <v>0</v>
      </c>
      <c r="R2502" s="4"/>
      <c r="S2502" s="12"/>
    </row>
    <row r="2503" spans="1:19" x14ac:dyDescent="0.25">
      <c r="A2503" s="9" t="s">
        <v>1676</v>
      </c>
      <c r="B2503" s="9" t="s">
        <v>291</v>
      </c>
      <c r="C2503" s="4">
        <v>201000044</v>
      </c>
      <c r="D2503" s="4" t="s">
        <v>1677</v>
      </c>
      <c r="E2503" s="4" t="str">
        <f>"000782010"</f>
        <v>000782010</v>
      </c>
      <c r="F2503" s="10">
        <v>40092</v>
      </c>
      <c r="G2503" s="11">
        <v>208</v>
      </c>
      <c r="H2503" s="11">
        <v>0</v>
      </c>
      <c r="I2503" s="4"/>
      <c r="J2503" s="4"/>
      <c r="K2503" s="11">
        <v>0</v>
      </c>
      <c r="L2503" s="4"/>
      <c r="M2503" s="4"/>
      <c r="N2503" s="11">
        <v>208</v>
      </c>
      <c r="O2503" s="4" t="s">
        <v>56</v>
      </c>
      <c r="P2503" s="4" t="s">
        <v>57</v>
      </c>
      <c r="Q2503" s="11">
        <v>0</v>
      </c>
      <c r="R2503" s="4"/>
      <c r="S2503" s="12"/>
    </row>
    <row r="2504" spans="1:19" x14ac:dyDescent="0.25">
      <c r="A2504" s="9" t="s">
        <v>1676</v>
      </c>
      <c r="B2504" s="9" t="s">
        <v>291</v>
      </c>
      <c r="C2504" s="4">
        <v>201000224</v>
      </c>
      <c r="D2504" s="4" t="s">
        <v>2534</v>
      </c>
      <c r="E2504" s="4" t="str">
        <f>"003882010"</f>
        <v>003882010</v>
      </c>
      <c r="F2504" s="10">
        <v>40102</v>
      </c>
      <c r="G2504" s="11">
        <v>29550</v>
      </c>
      <c r="H2504" s="11">
        <v>0</v>
      </c>
      <c r="I2504" s="4"/>
      <c r="J2504" s="4"/>
      <c r="K2504" s="11">
        <v>29550</v>
      </c>
      <c r="L2504" s="4" t="s">
        <v>1678</v>
      </c>
      <c r="M2504" s="4" t="s">
        <v>1679</v>
      </c>
      <c r="N2504" s="11">
        <v>0</v>
      </c>
      <c r="O2504" s="4"/>
      <c r="P2504" s="4"/>
      <c r="Q2504" s="11">
        <v>0</v>
      </c>
      <c r="R2504" s="4"/>
      <c r="S2504" s="12"/>
    </row>
    <row r="2505" spans="1:19" x14ac:dyDescent="0.25">
      <c r="A2505" s="9" t="s">
        <v>1676</v>
      </c>
      <c r="B2505" s="9" t="s">
        <v>291</v>
      </c>
      <c r="C2505" s="4">
        <v>201000480</v>
      </c>
      <c r="D2505" s="4" t="s">
        <v>1680</v>
      </c>
      <c r="E2505" s="4" t="str">
        <f>"009232010"</f>
        <v>009232010</v>
      </c>
      <c r="F2505" s="10">
        <v>40122</v>
      </c>
      <c r="G2505" s="11">
        <v>27368.55</v>
      </c>
      <c r="H2505" s="11">
        <v>0</v>
      </c>
      <c r="I2505" s="4"/>
      <c r="J2505" s="4"/>
      <c r="K2505" s="11">
        <v>27368.55</v>
      </c>
      <c r="L2505" s="4" t="s">
        <v>1678</v>
      </c>
      <c r="M2505" s="4" t="s">
        <v>1679</v>
      </c>
      <c r="N2505" s="11">
        <v>0</v>
      </c>
      <c r="O2505" s="4"/>
      <c r="P2505" s="4"/>
      <c r="Q2505" s="11">
        <v>0</v>
      </c>
      <c r="R2505" s="4"/>
      <c r="S2505" s="12"/>
    </row>
    <row r="2506" spans="1:19" x14ac:dyDescent="0.25">
      <c r="A2506" s="9" t="s">
        <v>1676</v>
      </c>
      <c r="B2506" s="9" t="s">
        <v>291</v>
      </c>
      <c r="C2506" s="4">
        <v>201003975</v>
      </c>
      <c r="D2506" s="4"/>
      <c r="E2506" s="4" t="str">
        <f>"081262010"</f>
        <v>081262010</v>
      </c>
      <c r="F2506" s="10">
        <v>40345</v>
      </c>
      <c r="G2506" s="11">
        <v>48142.400000000001</v>
      </c>
      <c r="H2506" s="11">
        <v>0</v>
      </c>
      <c r="I2506" s="4"/>
      <c r="J2506" s="4"/>
      <c r="K2506" s="11">
        <v>48142.400000000001</v>
      </c>
      <c r="L2506" s="4" t="s">
        <v>234</v>
      </c>
      <c r="M2506" s="4" t="s">
        <v>235</v>
      </c>
      <c r="N2506" s="11">
        <v>0</v>
      </c>
      <c r="O2506" s="4"/>
      <c r="P2506" s="4"/>
      <c r="Q2506" s="11">
        <v>0</v>
      </c>
      <c r="R2506" s="4"/>
      <c r="S2506" s="12"/>
    </row>
    <row r="2507" spans="1:19" x14ac:dyDescent="0.25">
      <c r="A2507" s="9" t="s">
        <v>1681</v>
      </c>
      <c r="B2507" s="9" t="s">
        <v>291</v>
      </c>
      <c r="C2507" s="4">
        <v>201004076</v>
      </c>
      <c r="D2507" s="4" t="s">
        <v>1682</v>
      </c>
      <c r="E2507" s="4" t="str">
        <f>"080242010"</f>
        <v>080242010</v>
      </c>
      <c r="F2507" s="10">
        <v>40345</v>
      </c>
      <c r="G2507" s="11">
        <v>817908.84</v>
      </c>
      <c r="H2507" s="11">
        <v>450000</v>
      </c>
      <c r="I2507" s="4" t="s">
        <v>401</v>
      </c>
      <c r="J2507" s="4" t="s">
        <v>402</v>
      </c>
      <c r="K2507" s="11">
        <v>0</v>
      </c>
      <c r="L2507" s="4"/>
      <c r="M2507" s="4"/>
      <c r="N2507" s="11">
        <v>0</v>
      </c>
      <c r="O2507" s="4"/>
      <c r="P2507" s="4"/>
      <c r="Q2507" s="11">
        <v>367908.84</v>
      </c>
      <c r="R2507" s="4" t="s">
        <v>401</v>
      </c>
      <c r="S2507" s="12" t="s">
        <v>402</v>
      </c>
    </row>
    <row r="2508" spans="1:19" x14ac:dyDescent="0.25">
      <c r="A2508" s="9" t="s">
        <v>1683</v>
      </c>
      <c r="B2508" s="9" t="s">
        <v>291</v>
      </c>
      <c r="C2508" s="4">
        <v>201004917</v>
      </c>
      <c r="D2508" s="4" t="s">
        <v>2534</v>
      </c>
      <c r="E2508" s="4" t="str">
        <f>"100392010"</f>
        <v>100392010</v>
      </c>
      <c r="F2508" s="10">
        <v>40402</v>
      </c>
      <c r="G2508" s="11">
        <v>10016.65</v>
      </c>
      <c r="H2508" s="11">
        <v>0</v>
      </c>
      <c r="I2508" s="4"/>
      <c r="J2508" s="4"/>
      <c r="K2508" s="11">
        <v>9939.5</v>
      </c>
      <c r="L2508" s="4" t="s">
        <v>1684</v>
      </c>
      <c r="M2508" s="4" t="s">
        <v>1685</v>
      </c>
      <c r="N2508" s="11">
        <v>77.150000000000006</v>
      </c>
      <c r="O2508" s="4" t="s">
        <v>1684</v>
      </c>
      <c r="P2508" s="4" t="s">
        <v>1685</v>
      </c>
      <c r="Q2508" s="11">
        <v>0</v>
      </c>
      <c r="R2508" s="4"/>
      <c r="S2508" s="12"/>
    </row>
    <row r="2509" spans="1:19" x14ac:dyDescent="0.25">
      <c r="A2509" s="9" t="s">
        <v>1686</v>
      </c>
      <c r="B2509" s="9" t="s">
        <v>291</v>
      </c>
      <c r="C2509" s="4">
        <v>201000477</v>
      </c>
      <c r="D2509" s="4" t="s">
        <v>1687</v>
      </c>
      <c r="E2509" s="4" t="str">
        <f>"008672010"</f>
        <v>008672010</v>
      </c>
      <c r="F2509" s="10">
        <v>40120</v>
      </c>
      <c r="G2509" s="11">
        <v>15000</v>
      </c>
      <c r="H2509" s="11">
        <v>15000</v>
      </c>
      <c r="I2509" s="4" t="s">
        <v>23</v>
      </c>
      <c r="J2509" s="4" t="s">
        <v>24</v>
      </c>
      <c r="K2509" s="11">
        <v>0</v>
      </c>
      <c r="L2509" s="4"/>
      <c r="M2509" s="4"/>
      <c r="N2509" s="11">
        <v>0</v>
      </c>
      <c r="O2509" s="4"/>
      <c r="P2509" s="4"/>
      <c r="Q2509" s="11">
        <v>0</v>
      </c>
      <c r="R2509" s="4"/>
      <c r="S2509" s="12"/>
    </row>
    <row r="2510" spans="1:19" x14ac:dyDescent="0.25">
      <c r="A2510" s="9" t="s">
        <v>1688</v>
      </c>
      <c r="B2510" s="9" t="s">
        <v>1688</v>
      </c>
      <c r="C2510" s="4">
        <v>201000916</v>
      </c>
      <c r="D2510" s="4" t="s">
        <v>1689</v>
      </c>
      <c r="E2510" s="4" t="str">
        <f>"017362010"</f>
        <v>017362010</v>
      </c>
      <c r="F2510" s="10">
        <v>40150</v>
      </c>
      <c r="G2510" s="11">
        <v>66.2</v>
      </c>
      <c r="H2510" s="11">
        <v>0</v>
      </c>
      <c r="I2510" s="4"/>
      <c r="J2510" s="4"/>
      <c r="K2510" s="11">
        <v>0</v>
      </c>
      <c r="L2510" s="4"/>
      <c r="M2510" s="4"/>
      <c r="N2510" s="11">
        <v>66.2</v>
      </c>
      <c r="O2510" s="4" t="s">
        <v>56</v>
      </c>
      <c r="P2510" s="4" t="s">
        <v>57</v>
      </c>
      <c r="Q2510" s="11">
        <v>0</v>
      </c>
      <c r="R2510" s="4"/>
      <c r="S2510" s="12"/>
    </row>
    <row r="2511" spans="1:19" x14ac:dyDescent="0.25">
      <c r="A2511" s="9" t="s">
        <v>1688</v>
      </c>
      <c r="B2511" s="9" t="s">
        <v>291</v>
      </c>
      <c r="C2511" s="4">
        <v>201001085</v>
      </c>
      <c r="D2511" s="4" t="s">
        <v>1690</v>
      </c>
      <c r="E2511" s="4" t="str">
        <f>"020882010"</f>
        <v>020882010</v>
      </c>
      <c r="F2511" s="10">
        <v>40162</v>
      </c>
      <c r="G2511" s="11">
        <v>5416.82</v>
      </c>
      <c r="H2511" s="11">
        <v>0</v>
      </c>
      <c r="I2511" s="4"/>
      <c r="J2511" s="4"/>
      <c r="K2511" s="11">
        <v>0</v>
      </c>
      <c r="L2511" s="4"/>
      <c r="M2511" s="4"/>
      <c r="N2511" s="11">
        <v>5416.82</v>
      </c>
      <c r="O2511" s="4" t="s">
        <v>56</v>
      </c>
      <c r="P2511" s="4" t="s">
        <v>57</v>
      </c>
      <c r="Q2511" s="11">
        <v>0</v>
      </c>
      <c r="R2511" s="4"/>
      <c r="S2511" s="12"/>
    </row>
    <row r="2512" spans="1:19" x14ac:dyDescent="0.25">
      <c r="A2512" s="9" t="s">
        <v>1688</v>
      </c>
      <c r="B2512" s="9" t="s">
        <v>1688</v>
      </c>
      <c r="C2512" s="4">
        <v>201001599</v>
      </c>
      <c r="D2512" s="4" t="s">
        <v>1691</v>
      </c>
      <c r="E2512" s="4" t="str">
        <f>"031122010"</f>
        <v>031122010</v>
      </c>
      <c r="F2512" s="10">
        <v>40197</v>
      </c>
      <c r="G2512" s="11">
        <v>3335.83</v>
      </c>
      <c r="H2512" s="11">
        <v>0</v>
      </c>
      <c r="I2512" s="4"/>
      <c r="J2512" s="4"/>
      <c r="K2512" s="11">
        <v>0</v>
      </c>
      <c r="L2512" s="4"/>
      <c r="M2512" s="4"/>
      <c r="N2512" s="11">
        <v>3335.83</v>
      </c>
      <c r="O2512" s="4" t="s">
        <v>56</v>
      </c>
      <c r="P2512" s="4" t="s">
        <v>57</v>
      </c>
      <c r="Q2512" s="11">
        <v>0</v>
      </c>
      <c r="R2512" s="4"/>
      <c r="S2512" s="12"/>
    </row>
    <row r="2513" spans="1:19" x14ac:dyDescent="0.25">
      <c r="A2513" s="9" t="s">
        <v>1688</v>
      </c>
      <c r="B2513" s="9" t="s">
        <v>1688</v>
      </c>
      <c r="C2513" s="4">
        <v>201002583</v>
      </c>
      <c r="D2513" s="4" t="s">
        <v>1692</v>
      </c>
      <c r="E2513" s="4" t="str">
        <f>"051262010"</f>
        <v>051262010</v>
      </c>
      <c r="F2513" s="10">
        <v>40263</v>
      </c>
      <c r="G2513" s="11">
        <v>3718.85</v>
      </c>
      <c r="H2513" s="11">
        <v>0</v>
      </c>
      <c r="I2513" s="4"/>
      <c r="J2513" s="4"/>
      <c r="K2513" s="11">
        <v>0</v>
      </c>
      <c r="L2513" s="4"/>
      <c r="M2513" s="4"/>
      <c r="N2513" s="11">
        <v>3718.85</v>
      </c>
      <c r="O2513" s="4" t="s">
        <v>56</v>
      </c>
      <c r="P2513" s="4" t="s">
        <v>57</v>
      </c>
      <c r="Q2513" s="11">
        <v>0</v>
      </c>
      <c r="R2513" s="4"/>
      <c r="S2513" s="12"/>
    </row>
    <row r="2514" spans="1:19" x14ac:dyDescent="0.25">
      <c r="A2514" s="9" t="s">
        <v>1688</v>
      </c>
      <c r="B2514" s="9" t="s">
        <v>1688</v>
      </c>
      <c r="C2514" s="4">
        <v>201003773</v>
      </c>
      <c r="D2514" s="4" t="s">
        <v>1693</v>
      </c>
      <c r="E2514" s="4" t="str">
        <f>"076142010"</f>
        <v>076142010</v>
      </c>
      <c r="F2514" s="10">
        <v>40333</v>
      </c>
      <c r="G2514" s="11">
        <v>4538.9399999999996</v>
      </c>
      <c r="H2514" s="11">
        <v>0</v>
      </c>
      <c r="I2514" s="4"/>
      <c r="J2514" s="4"/>
      <c r="K2514" s="11">
        <v>0</v>
      </c>
      <c r="L2514" s="4"/>
      <c r="M2514" s="4"/>
      <c r="N2514" s="11">
        <v>4538.9399999999996</v>
      </c>
      <c r="O2514" s="4" t="s">
        <v>30</v>
      </c>
      <c r="P2514" s="4" t="s">
        <v>31</v>
      </c>
      <c r="Q2514" s="11">
        <v>0</v>
      </c>
      <c r="R2514" s="4"/>
      <c r="S2514" s="12"/>
    </row>
    <row r="2515" spans="1:19" x14ac:dyDescent="0.25">
      <c r="A2515" s="9" t="s">
        <v>1688</v>
      </c>
      <c r="B2515" s="9" t="s">
        <v>1688</v>
      </c>
      <c r="C2515" s="4">
        <v>201003802</v>
      </c>
      <c r="D2515" s="4" t="s">
        <v>1694</v>
      </c>
      <c r="E2515" s="4" t="str">
        <f>"077042010"</f>
        <v>077042010</v>
      </c>
      <c r="F2515" s="10">
        <v>40337</v>
      </c>
      <c r="G2515" s="11">
        <v>6383.82</v>
      </c>
      <c r="H2515" s="11">
        <v>0</v>
      </c>
      <c r="I2515" s="4"/>
      <c r="J2515" s="4"/>
      <c r="K2515" s="11">
        <v>0</v>
      </c>
      <c r="L2515" s="4"/>
      <c r="M2515" s="4"/>
      <c r="N2515" s="11">
        <v>6383.82</v>
      </c>
      <c r="O2515" s="4" t="s">
        <v>30</v>
      </c>
      <c r="P2515" s="4" t="s">
        <v>31</v>
      </c>
      <c r="Q2515" s="11">
        <v>0</v>
      </c>
      <c r="R2515" s="4"/>
      <c r="S2515" s="12"/>
    </row>
    <row r="2516" spans="1:19" x14ac:dyDescent="0.25">
      <c r="A2516" s="9" t="s">
        <v>1688</v>
      </c>
      <c r="B2516" s="9" t="s">
        <v>1688</v>
      </c>
      <c r="C2516" s="4">
        <v>201003832</v>
      </c>
      <c r="D2516" s="4" t="s">
        <v>1695</v>
      </c>
      <c r="E2516" s="4" t="str">
        <f>"075982010"</f>
        <v>075982010</v>
      </c>
      <c r="F2516" s="10">
        <v>40333</v>
      </c>
      <c r="G2516" s="11">
        <v>14957.3</v>
      </c>
      <c r="H2516" s="11">
        <v>7335.54</v>
      </c>
      <c r="I2516" s="4" t="s">
        <v>56</v>
      </c>
      <c r="J2516" s="4" t="s">
        <v>57</v>
      </c>
      <c r="K2516" s="11">
        <v>0</v>
      </c>
      <c r="L2516" s="4"/>
      <c r="M2516" s="4"/>
      <c r="N2516" s="11">
        <v>7621.76</v>
      </c>
      <c r="O2516" s="4" t="s">
        <v>56</v>
      </c>
      <c r="P2516" s="4" t="s">
        <v>57</v>
      </c>
      <c r="Q2516" s="11">
        <v>0</v>
      </c>
      <c r="R2516" s="4"/>
      <c r="S2516" s="12"/>
    </row>
    <row r="2517" spans="1:19" x14ac:dyDescent="0.25">
      <c r="A2517" s="9" t="s">
        <v>1688</v>
      </c>
      <c r="B2517" s="9" t="s">
        <v>1688</v>
      </c>
      <c r="C2517" s="4">
        <v>201003837</v>
      </c>
      <c r="D2517" s="4" t="s">
        <v>1696</v>
      </c>
      <c r="E2517" s="4" t="str">
        <f>"078452010"</f>
        <v>078452010</v>
      </c>
      <c r="F2517" s="10">
        <v>40340</v>
      </c>
      <c r="G2517" s="11">
        <v>9468.93</v>
      </c>
      <c r="H2517" s="11">
        <v>0</v>
      </c>
      <c r="I2517" s="4"/>
      <c r="J2517" s="4"/>
      <c r="K2517" s="11">
        <v>0</v>
      </c>
      <c r="L2517" s="4"/>
      <c r="M2517" s="4"/>
      <c r="N2517" s="11">
        <v>9468.93</v>
      </c>
      <c r="O2517" s="4" t="s">
        <v>56</v>
      </c>
      <c r="P2517" s="4" t="s">
        <v>57</v>
      </c>
      <c r="Q2517" s="11">
        <v>0</v>
      </c>
      <c r="R2517" s="4"/>
      <c r="S2517" s="12"/>
    </row>
    <row r="2518" spans="1:19" x14ac:dyDescent="0.25">
      <c r="A2518" s="9" t="s">
        <v>1688</v>
      </c>
      <c r="B2518" s="9" t="s">
        <v>1688</v>
      </c>
      <c r="C2518" s="4">
        <v>201005140</v>
      </c>
      <c r="D2518" s="4" t="s">
        <v>1697</v>
      </c>
      <c r="E2518" s="4" t="str">
        <f>"102932010"</f>
        <v>102932010</v>
      </c>
      <c r="F2518" s="10">
        <v>40409</v>
      </c>
      <c r="G2518" s="11">
        <v>3610.66</v>
      </c>
      <c r="H2518" s="11">
        <v>0</v>
      </c>
      <c r="I2518" s="4"/>
      <c r="J2518" s="4"/>
      <c r="K2518" s="11">
        <v>0</v>
      </c>
      <c r="L2518" s="4"/>
      <c r="M2518" s="4"/>
      <c r="N2518" s="11">
        <v>3610.66</v>
      </c>
      <c r="O2518" s="4" t="s">
        <v>56</v>
      </c>
      <c r="P2518" s="4" t="s">
        <v>57</v>
      </c>
      <c r="Q2518" s="11">
        <v>0</v>
      </c>
      <c r="R2518" s="4"/>
      <c r="S2518" s="12"/>
    </row>
    <row r="2519" spans="1:19" x14ac:dyDescent="0.25">
      <c r="A2519" s="9" t="s">
        <v>1698</v>
      </c>
      <c r="B2519" s="9" t="s">
        <v>291</v>
      </c>
      <c r="C2519" s="4">
        <v>200905915</v>
      </c>
      <c r="D2519" s="4"/>
      <c r="E2519" s="4" t="str">
        <f>"087242009"</f>
        <v>087242009</v>
      </c>
      <c r="F2519" s="10">
        <v>40091</v>
      </c>
      <c r="G2519" s="11">
        <v>12479.2</v>
      </c>
      <c r="H2519" s="11">
        <v>12479.2</v>
      </c>
      <c r="I2519" s="4" t="s">
        <v>142</v>
      </c>
      <c r="J2519" s="4" t="s">
        <v>143</v>
      </c>
      <c r="K2519" s="11">
        <v>0</v>
      </c>
      <c r="L2519" s="4"/>
      <c r="M2519" s="4"/>
      <c r="N2519" s="11">
        <v>0</v>
      </c>
      <c r="O2519" s="4"/>
      <c r="P2519" s="4"/>
      <c r="Q2519" s="11">
        <v>0</v>
      </c>
      <c r="R2519" s="4"/>
      <c r="S2519" s="12"/>
    </row>
    <row r="2520" spans="1:19" x14ac:dyDescent="0.25">
      <c r="A2520" s="9" t="s">
        <v>1698</v>
      </c>
      <c r="B2520" s="9" t="s">
        <v>291</v>
      </c>
      <c r="C2520" s="4">
        <v>200905916</v>
      </c>
      <c r="D2520" s="4"/>
      <c r="E2520" s="4" t="str">
        <f>"087262009"</f>
        <v>087262009</v>
      </c>
      <c r="F2520" s="10">
        <v>40091</v>
      </c>
      <c r="G2520" s="11">
        <v>14533.67</v>
      </c>
      <c r="H2520" s="11">
        <v>14533.67</v>
      </c>
      <c r="I2520" s="4" t="s">
        <v>142</v>
      </c>
      <c r="J2520" s="4" t="s">
        <v>143</v>
      </c>
      <c r="K2520" s="11">
        <v>0</v>
      </c>
      <c r="L2520" s="4"/>
      <c r="M2520" s="4"/>
      <c r="N2520" s="11">
        <v>0</v>
      </c>
      <c r="O2520" s="4"/>
      <c r="P2520" s="4"/>
      <c r="Q2520" s="11">
        <v>0</v>
      </c>
      <c r="R2520" s="4"/>
      <c r="S2520" s="12"/>
    </row>
    <row r="2521" spans="1:19" x14ac:dyDescent="0.25">
      <c r="A2521" s="9" t="s">
        <v>1698</v>
      </c>
      <c r="B2521" s="9" t="s">
        <v>291</v>
      </c>
      <c r="C2521" s="4">
        <v>201000067</v>
      </c>
      <c r="D2521" s="4"/>
      <c r="E2521" s="4" t="str">
        <f>"002242010"</f>
        <v>002242010</v>
      </c>
      <c r="F2521" s="10">
        <v>40094</v>
      </c>
      <c r="G2521" s="11">
        <v>1107567.52</v>
      </c>
      <c r="H2521" s="11">
        <v>1107567.52</v>
      </c>
      <c r="I2521" s="4" t="s">
        <v>142</v>
      </c>
      <c r="J2521" s="4" t="s">
        <v>143</v>
      </c>
      <c r="K2521" s="11">
        <v>0</v>
      </c>
      <c r="L2521" s="4"/>
      <c r="M2521" s="4"/>
      <c r="N2521" s="11">
        <v>0</v>
      </c>
      <c r="O2521" s="4"/>
      <c r="P2521" s="4"/>
      <c r="Q2521" s="11">
        <v>0</v>
      </c>
      <c r="R2521" s="4"/>
      <c r="S2521" s="12"/>
    </row>
    <row r="2522" spans="1:19" x14ac:dyDescent="0.25">
      <c r="A2522" s="9" t="s">
        <v>1698</v>
      </c>
      <c r="B2522" s="9" t="s">
        <v>291</v>
      </c>
      <c r="C2522" s="4">
        <v>201000090</v>
      </c>
      <c r="D2522" s="4"/>
      <c r="E2522" s="4" t="str">
        <f>"001502010"</f>
        <v>001502010</v>
      </c>
      <c r="F2522" s="10">
        <v>40094</v>
      </c>
      <c r="G2522" s="11">
        <v>13000</v>
      </c>
      <c r="H2522" s="11">
        <v>13000</v>
      </c>
      <c r="I2522" s="4" t="s">
        <v>104</v>
      </c>
      <c r="J2522" s="4" t="s">
        <v>105</v>
      </c>
      <c r="K2522" s="11">
        <v>0</v>
      </c>
      <c r="L2522" s="4"/>
      <c r="M2522" s="4"/>
      <c r="N2522" s="11">
        <v>0</v>
      </c>
      <c r="O2522" s="4"/>
      <c r="P2522" s="4"/>
      <c r="Q2522" s="11">
        <v>0</v>
      </c>
      <c r="R2522" s="4"/>
      <c r="S2522" s="12"/>
    </row>
    <row r="2523" spans="1:19" x14ac:dyDescent="0.25">
      <c r="A2523" s="9" t="s">
        <v>1698</v>
      </c>
      <c r="B2523" s="9" t="s">
        <v>1698</v>
      </c>
      <c r="C2523" s="4">
        <v>201000144</v>
      </c>
      <c r="D2523" s="4" t="s">
        <v>1699</v>
      </c>
      <c r="E2523" s="4" t="str">
        <f>"002562010"</f>
        <v>002562010</v>
      </c>
      <c r="F2523" s="10">
        <v>40100</v>
      </c>
      <c r="G2523" s="11">
        <v>1750000</v>
      </c>
      <c r="H2523" s="11">
        <v>1750000</v>
      </c>
      <c r="I2523" s="4" t="s">
        <v>98</v>
      </c>
      <c r="J2523" s="4" t="s">
        <v>99</v>
      </c>
      <c r="K2523" s="11">
        <v>0</v>
      </c>
      <c r="L2523" s="4"/>
      <c r="M2523" s="4"/>
      <c r="N2523" s="11">
        <v>0</v>
      </c>
      <c r="O2523" s="4"/>
      <c r="P2523" s="4"/>
      <c r="Q2523" s="11">
        <v>0</v>
      </c>
      <c r="R2523" s="4"/>
      <c r="S2523" s="12"/>
    </row>
    <row r="2524" spans="1:19" x14ac:dyDescent="0.25">
      <c r="A2524" s="9" t="s">
        <v>1698</v>
      </c>
      <c r="B2524" s="9" t="s">
        <v>1698</v>
      </c>
      <c r="C2524" s="4">
        <v>201000760</v>
      </c>
      <c r="D2524" s="4" t="s">
        <v>1700</v>
      </c>
      <c r="E2524" s="4" t="str">
        <f>"014442010"</f>
        <v>014442010</v>
      </c>
      <c r="F2524" s="10">
        <v>40142</v>
      </c>
      <c r="G2524" s="11">
        <v>179000</v>
      </c>
      <c r="H2524" s="11">
        <v>179000</v>
      </c>
      <c r="I2524" s="4" t="s">
        <v>98</v>
      </c>
      <c r="J2524" s="4" t="s">
        <v>99</v>
      </c>
      <c r="K2524" s="11">
        <v>0</v>
      </c>
      <c r="L2524" s="4"/>
      <c r="M2524" s="4"/>
      <c r="N2524" s="11">
        <v>0</v>
      </c>
      <c r="O2524" s="4"/>
      <c r="P2524" s="4"/>
      <c r="Q2524" s="11">
        <v>0</v>
      </c>
      <c r="R2524" s="4"/>
      <c r="S2524" s="12"/>
    </row>
    <row r="2525" spans="1:19" x14ac:dyDescent="0.25">
      <c r="A2525" s="9" t="s">
        <v>1698</v>
      </c>
      <c r="B2525" s="9" t="s">
        <v>291</v>
      </c>
      <c r="C2525" s="4">
        <v>201000780</v>
      </c>
      <c r="D2525" s="4" t="s">
        <v>1701</v>
      </c>
      <c r="E2525" s="4" t="str">
        <f>"022882010"</f>
        <v>022882010</v>
      </c>
      <c r="F2525" s="10">
        <v>40165</v>
      </c>
      <c r="G2525" s="11">
        <v>337678.92</v>
      </c>
      <c r="H2525" s="11">
        <v>270000</v>
      </c>
      <c r="I2525" s="4" t="s">
        <v>98</v>
      </c>
      <c r="J2525" s="4" t="s">
        <v>99</v>
      </c>
      <c r="K2525" s="11">
        <v>0</v>
      </c>
      <c r="L2525" s="4"/>
      <c r="M2525" s="4"/>
      <c r="N2525" s="11">
        <v>0</v>
      </c>
      <c r="O2525" s="4"/>
      <c r="P2525" s="4"/>
      <c r="Q2525" s="11">
        <v>67678.92</v>
      </c>
      <c r="R2525" s="4" t="s">
        <v>98</v>
      </c>
      <c r="S2525" s="12" t="s">
        <v>99</v>
      </c>
    </row>
    <row r="2526" spans="1:19" x14ac:dyDescent="0.25">
      <c r="A2526" s="9" t="s">
        <v>1698</v>
      </c>
      <c r="B2526" s="9" t="s">
        <v>291</v>
      </c>
      <c r="C2526" s="4">
        <v>201000979</v>
      </c>
      <c r="D2526" s="4" t="s">
        <v>1702</v>
      </c>
      <c r="E2526" s="4" t="str">
        <f>"030852010"</f>
        <v>030852010</v>
      </c>
      <c r="F2526" s="10">
        <v>40193</v>
      </c>
      <c r="G2526" s="11">
        <v>705</v>
      </c>
      <c r="H2526" s="11">
        <v>0</v>
      </c>
      <c r="I2526" s="4"/>
      <c r="J2526" s="4"/>
      <c r="K2526" s="11">
        <v>0</v>
      </c>
      <c r="L2526" s="4"/>
      <c r="M2526" s="4"/>
      <c r="N2526" s="11">
        <v>705</v>
      </c>
      <c r="O2526" s="4" t="s">
        <v>56</v>
      </c>
      <c r="P2526" s="4" t="s">
        <v>57</v>
      </c>
      <c r="Q2526" s="11">
        <v>0</v>
      </c>
      <c r="R2526" s="4"/>
      <c r="S2526" s="12"/>
    </row>
    <row r="2527" spans="1:19" x14ac:dyDescent="0.25">
      <c r="A2527" s="9" t="s">
        <v>1698</v>
      </c>
      <c r="B2527" s="9" t="s">
        <v>291</v>
      </c>
      <c r="C2527" s="4">
        <v>201001022</v>
      </c>
      <c r="D2527" s="4" t="s">
        <v>1703</v>
      </c>
      <c r="E2527" s="4" t="str">
        <f>"032822010"</f>
        <v>032822010</v>
      </c>
      <c r="F2527" s="10">
        <v>40199</v>
      </c>
      <c r="G2527" s="11">
        <v>66555.95</v>
      </c>
      <c r="H2527" s="11">
        <v>66449.919999999998</v>
      </c>
      <c r="I2527" s="4" t="s">
        <v>142</v>
      </c>
      <c r="J2527" s="4" t="s">
        <v>143</v>
      </c>
      <c r="K2527" s="11">
        <v>0</v>
      </c>
      <c r="L2527" s="4"/>
      <c r="M2527" s="4"/>
      <c r="N2527" s="11">
        <v>0</v>
      </c>
      <c r="O2527" s="4"/>
      <c r="P2527" s="4"/>
      <c r="Q2527" s="11">
        <v>106.03</v>
      </c>
      <c r="R2527" s="4" t="s">
        <v>142</v>
      </c>
      <c r="S2527" s="12" t="s">
        <v>143</v>
      </c>
    </row>
    <row r="2528" spans="1:19" x14ac:dyDescent="0.25">
      <c r="A2528" s="9" t="s">
        <v>1698</v>
      </c>
      <c r="B2528" s="9" t="s">
        <v>291</v>
      </c>
      <c r="C2528" s="4">
        <v>201001053</v>
      </c>
      <c r="D2528" s="4" t="s">
        <v>1704</v>
      </c>
      <c r="E2528" s="4" t="str">
        <f>"023292010"</f>
        <v>023292010</v>
      </c>
      <c r="F2528" s="10">
        <v>40164</v>
      </c>
      <c r="G2528" s="11">
        <v>1440000</v>
      </c>
      <c r="H2528" s="11">
        <v>1440000</v>
      </c>
      <c r="I2528" s="4" t="s">
        <v>1705</v>
      </c>
      <c r="J2528" s="4" t="s">
        <v>1706</v>
      </c>
      <c r="K2528" s="11">
        <v>0</v>
      </c>
      <c r="L2528" s="4"/>
      <c r="M2528" s="4"/>
      <c r="N2528" s="11">
        <v>0</v>
      </c>
      <c r="O2528" s="4"/>
      <c r="P2528" s="4"/>
      <c r="Q2528" s="11">
        <v>0</v>
      </c>
      <c r="R2528" s="4"/>
      <c r="S2528" s="12"/>
    </row>
    <row r="2529" spans="1:19" x14ac:dyDescent="0.25">
      <c r="A2529" s="9" t="s">
        <v>1698</v>
      </c>
      <c r="B2529" s="9" t="s">
        <v>291</v>
      </c>
      <c r="C2529" s="4">
        <v>201001205</v>
      </c>
      <c r="D2529" s="4" t="s">
        <v>1707</v>
      </c>
      <c r="E2529" s="4" t="str">
        <f>"024672010"</f>
        <v>024672010</v>
      </c>
      <c r="F2529" s="10">
        <v>40177</v>
      </c>
      <c r="G2529" s="11">
        <v>26500</v>
      </c>
      <c r="H2529" s="11">
        <v>26500</v>
      </c>
      <c r="I2529" s="4" t="s">
        <v>30</v>
      </c>
      <c r="J2529" s="4" t="s">
        <v>31</v>
      </c>
      <c r="K2529" s="11">
        <v>0</v>
      </c>
      <c r="L2529" s="4"/>
      <c r="M2529" s="4"/>
      <c r="N2529" s="11">
        <v>0</v>
      </c>
      <c r="O2529" s="4"/>
      <c r="P2529" s="4"/>
      <c r="Q2529" s="11">
        <v>0</v>
      </c>
      <c r="R2529" s="4"/>
      <c r="S2529" s="12"/>
    </row>
    <row r="2530" spans="1:19" x14ac:dyDescent="0.25">
      <c r="A2530" s="9" t="s">
        <v>1698</v>
      </c>
      <c r="B2530" s="9" t="s">
        <v>291</v>
      </c>
      <c r="C2530" s="4">
        <v>201001537</v>
      </c>
      <c r="D2530" s="4" t="s">
        <v>1708</v>
      </c>
      <c r="E2530" s="4" t="str">
        <f>"030172010"</f>
        <v>030172010</v>
      </c>
      <c r="F2530" s="10">
        <v>40193</v>
      </c>
      <c r="G2530" s="11">
        <v>1650000</v>
      </c>
      <c r="H2530" s="11">
        <v>1650000</v>
      </c>
      <c r="I2530" s="4" t="s">
        <v>98</v>
      </c>
      <c r="J2530" s="4" t="s">
        <v>99</v>
      </c>
      <c r="K2530" s="11">
        <v>0</v>
      </c>
      <c r="L2530" s="4"/>
      <c r="M2530" s="4"/>
      <c r="N2530" s="11">
        <v>0</v>
      </c>
      <c r="O2530" s="4"/>
      <c r="P2530" s="4"/>
      <c r="Q2530" s="11">
        <v>0</v>
      </c>
      <c r="R2530" s="4"/>
      <c r="S2530" s="12"/>
    </row>
    <row r="2531" spans="1:19" x14ac:dyDescent="0.25">
      <c r="A2531" s="9" t="s">
        <v>1698</v>
      </c>
      <c r="B2531" s="9" t="s">
        <v>291</v>
      </c>
      <c r="C2531" s="4">
        <v>201001920</v>
      </c>
      <c r="D2531" s="4"/>
      <c r="E2531" s="4" t="str">
        <f>"038462010"</f>
        <v>038462010</v>
      </c>
      <c r="F2531" s="10">
        <v>40226</v>
      </c>
      <c r="G2531" s="11">
        <v>6232444.4400000004</v>
      </c>
      <c r="H2531" s="11">
        <v>6232444.4400000004</v>
      </c>
      <c r="I2531" s="4" t="s">
        <v>142</v>
      </c>
      <c r="J2531" s="4" t="s">
        <v>143</v>
      </c>
      <c r="K2531" s="11">
        <v>0</v>
      </c>
      <c r="L2531" s="4"/>
      <c r="M2531" s="4"/>
      <c r="N2531" s="11">
        <v>0</v>
      </c>
      <c r="O2531" s="4"/>
      <c r="P2531" s="4"/>
      <c r="Q2531" s="11">
        <v>0</v>
      </c>
      <c r="R2531" s="4"/>
      <c r="S2531" s="12"/>
    </row>
    <row r="2532" spans="1:19" x14ac:dyDescent="0.25">
      <c r="A2532" s="9" t="s">
        <v>1698</v>
      </c>
      <c r="B2532" s="9" t="s">
        <v>291</v>
      </c>
      <c r="C2532" s="4">
        <v>201002237</v>
      </c>
      <c r="D2532" s="4" t="s">
        <v>1709</v>
      </c>
      <c r="E2532" s="4" t="str">
        <f>"044722010"</f>
        <v>044722010</v>
      </c>
      <c r="F2532" s="10">
        <v>40242</v>
      </c>
      <c r="G2532" s="11">
        <v>209667.82</v>
      </c>
      <c r="H2532" s="11">
        <v>209667.82</v>
      </c>
      <c r="I2532" s="4" t="s">
        <v>142</v>
      </c>
      <c r="J2532" s="4" t="s">
        <v>143</v>
      </c>
      <c r="K2532" s="11">
        <v>0</v>
      </c>
      <c r="L2532" s="4"/>
      <c r="M2532" s="4"/>
      <c r="N2532" s="11">
        <v>0</v>
      </c>
      <c r="O2532" s="4"/>
      <c r="P2532" s="4"/>
      <c r="Q2532" s="11">
        <v>0</v>
      </c>
      <c r="R2532" s="4"/>
      <c r="S2532" s="12"/>
    </row>
    <row r="2533" spans="1:19" x14ac:dyDescent="0.25">
      <c r="A2533" s="9" t="s">
        <v>1698</v>
      </c>
      <c r="B2533" s="9" t="s">
        <v>291</v>
      </c>
      <c r="C2533" s="4">
        <v>201002309</v>
      </c>
      <c r="D2533" s="4" t="s">
        <v>1709</v>
      </c>
      <c r="E2533" s="4" t="str">
        <f>"048542010"</f>
        <v>048542010</v>
      </c>
      <c r="F2533" s="10">
        <v>40254</v>
      </c>
      <c r="G2533" s="11">
        <v>76424.34</v>
      </c>
      <c r="H2533" s="11">
        <v>76311.94</v>
      </c>
      <c r="I2533" s="4" t="s">
        <v>142</v>
      </c>
      <c r="J2533" s="4" t="s">
        <v>143</v>
      </c>
      <c r="K2533" s="11">
        <v>0</v>
      </c>
      <c r="L2533" s="4"/>
      <c r="M2533" s="4"/>
      <c r="N2533" s="11">
        <v>0</v>
      </c>
      <c r="O2533" s="4"/>
      <c r="P2533" s="4"/>
      <c r="Q2533" s="11">
        <v>112.4</v>
      </c>
      <c r="R2533" s="4" t="s">
        <v>142</v>
      </c>
      <c r="S2533" s="12" t="s">
        <v>143</v>
      </c>
    </row>
    <row r="2534" spans="1:19" x14ac:dyDescent="0.25">
      <c r="A2534" s="9" t="s">
        <v>1698</v>
      </c>
      <c r="B2534" s="9" t="s">
        <v>291</v>
      </c>
      <c r="C2534" s="4">
        <v>201002406</v>
      </c>
      <c r="D2534" s="4" t="s">
        <v>1710</v>
      </c>
      <c r="E2534" s="4" t="str">
        <f>"048022010"</f>
        <v>048022010</v>
      </c>
      <c r="F2534" s="10">
        <v>40253</v>
      </c>
      <c r="G2534" s="11">
        <v>515000</v>
      </c>
      <c r="H2534" s="11">
        <v>515000</v>
      </c>
      <c r="I2534" s="4" t="s">
        <v>38</v>
      </c>
      <c r="J2534" s="4" t="s">
        <v>39</v>
      </c>
      <c r="K2534" s="11">
        <v>0</v>
      </c>
      <c r="L2534" s="4"/>
      <c r="M2534" s="4"/>
      <c r="N2534" s="11">
        <v>0</v>
      </c>
      <c r="O2534" s="4"/>
      <c r="P2534" s="4"/>
      <c r="Q2534" s="11">
        <v>0</v>
      </c>
      <c r="R2534" s="4"/>
      <c r="S2534" s="12"/>
    </row>
    <row r="2535" spans="1:19" x14ac:dyDescent="0.25">
      <c r="A2535" s="9" t="s">
        <v>1698</v>
      </c>
      <c r="B2535" s="9" t="s">
        <v>291</v>
      </c>
      <c r="C2535" s="4">
        <v>201002417</v>
      </c>
      <c r="D2535" s="4" t="s">
        <v>1709</v>
      </c>
      <c r="E2535" s="4" t="str">
        <f>"047922010"</f>
        <v>047922010</v>
      </c>
      <c r="F2535" s="10">
        <v>40253</v>
      </c>
      <c r="G2535" s="11">
        <v>4342.28</v>
      </c>
      <c r="H2535" s="11">
        <v>4342.28</v>
      </c>
      <c r="I2535" s="4" t="s">
        <v>142</v>
      </c>
      <c r="J2535" s="4" t="s">
        <v>143</v>
      </c>
      <c r="K2535" s="11">
        <v>0</v>
      </c>
      <c r="L2535" s="4"/>
      <c r="M2535" s="4"/>
      <c r="N2535" s="11">
        <v>0</v>
      </c>
      <c r="O2535" s="4"/>
      <c r="P2535" s="4"/>
      <c r="Q2535" s="11">
        <v>0</v>
      </c>
      <c r="R2535" s="4"/>
      <c r="S2535" s="12"/>
    </row>
    <row r="2536" spans="1:19" x14ac:dyDescent="0.25">
      <c r="A2536" s="9" t="s">
        <v>1698</v>
      </c>
      <c r="B2536" s="9" t="s">
        <v>291</v>
      </c>
      <c r="C2536" s="4">
        <v>201002429</v>
      </c>
      <c r="D2536" s="4" t="s">
        <v>1711</v>
      </c>
      <c r="E2536" s="4" t="str">
        <f>"048382010"</f>
        <v>048382010</v>
      </c>
      <c r="F2536" s="10">
        <v>40254</v>
      </c>
      <c r="G2536" s="11">
        <v>0</v>
      </c>
      <c r="H2536" s="11">
        <v>0</v>
      </c>
      <c r="I2536" s="4" t="s">
        <v>38</v>
      </c>
      <c r="J2536" s="4" t="s">
        <v>39</v>
      </c>
      <c r="K2536" s="11">
        <v>0</v>
      </c>
      <c r="L2536" s="4"/>
      <c r="M2536" s="4"/>
      <c r="N2536" s="11">
        <v>0</v>
      </c>
      <c r="O2536" s="4"/>
      <c r="P2536" s="4"/>
      <c r="Q2536" s="11">
        <v>0</v>
      </c>
      <c r="R2536" s="4"/>
      <c r="S2536" s="12"/>
    </row>
    <row r="2537" spans="1:19" x14ac:dyDescent="0.25">
      <c r="A2537" s="9" t="s">
        <v>1698</v>
      </c>
      <c r="B2537" s="9" t="s">
        <v>1698</v>
      </c>
      <c r="C2537" s="4">
        <v>201002896</v>
      </c>
      <c r="D2537" s="4" t="s">
        <v>1712</v>
      </c>
      <c r="E2537" s="4" t="str">
        <f>"057722010"</f>
        <v>057722010</v>
      </c>
      <c r="F2537" s="10">
        <v>40282</v>
      </c>
      <c r="G2537" s="11">
        <v>3685925.61</v>
      </c>
      <c r="H2537" s="11">
        <v>3400000</v>
      </c>
      <c r="I2537" s="4" t="s">
        <v>98</v>
      </c>
      <c r="J2537" s="4" t="s">
        <v>99</v>
      </c>
      <c r="K2537" s="11">
        <v>0</v>
      </c>
      <c r="L2537" s="4"/>
      <c r="M2537" s="4"/>
      <c r="N2537" s="11">
        <v>0</v>
      </c>
      <c r="O2537" s="4"/>
      <c r="P2537" s="4"/>
      <c r="Q2537" s="11">
        <v>285925.61</v>
      </c>
      <c r="R2537" s="4" t="s">
        <v>98</v>
      </c>
      <c r="S2537" s="12" t="s">
        <v>99</v>
      </c>
    </row>
    <row r="2538" spans="1:19" x14ac:dyDescent="0.25">
      <c r="A2538" s="9" t="s">
        <v>1698</v>
      </c>
      <c r="B2538" s="9" t="s">
        <v>1698</v>
      </c>
      <c r="C2538" s="4">
        <v>201002988</v>
      </c>
      <c r="D2538" s="4" t="s">
        <v>1713</v>
      </c>
      <c r="E2538" s="4" t="str">
        <f>"060722010"</f>
        <v>060722010</v>
      </c>
      <c r="F2538" s="10">
        <v>40296</v>
      </c>
      <c r="G2538" s="11">
        <v>370000</v>
      </c>
      <c r="H2538" s="11">
        <v>370000</v>
      </c>
      <c r="I2538" s="4" t="s">
        <v>98</v>
      </c>
      <c r="J2538" s="4" t="s">
        <v>99</v>
      </c>
      <c r="K2538" s="11">
        <v>0</v>
      </c>
      <c r="L2538" s="4"/>
      <c r="M2538" s="4"/>
      <c r="N2538" s="11">
        <v>0</v>
      </c>
      <c r="O2538" s="4"/>
      <c r="P2538" s="4"/>
      <c r="Q2538" s="11">
        <v>0</v>
      </c>
      <c r="R2538" s="4"/>
      <c r="S2538" s="12"/>
    </row>
    <row r="2539" spans="1:19" x14ac:dyDescent="0.25">
      <c r="A2539" s="9" t="s">
        <v>1698</v>
      </c>
      <c r="B2539" s="9" t="s">
        <v>291</v>
      </c>
      <c r="C2539" s="4">
        <v>201003432</v>
      </c>
      <c r="D2539" s="4" t="s">
        <v>1714</v>
      </c>
      <c r="E2539" s="4" t="str">
        <f>"069222010"</f>
        <v>069222010</v>
      </c>
      <c r="F2539" s="10">
        <v>40315</v>
      </c>
      <c r="G2539" s="11">
        <v>200000</v>
      </c>
      <c r="H2539" s="11">
        <v>200000</v>
      </c>
      <c r="I2539" s="4" t="s">
        <v>98</v>
      </c>
      <c r="J2539" s="4" t="s">
        <v>99</v>
      </c>
      <c r="K2539" s="11">
        <v>0</v>
      </c>
      <c r="L2539" s="4"/>
      <c r="M2539" s="4"/>
      <c r="N2539" s="11">
        <v>0</v>
      </c>
      <c r="O2539" s="4"/>
      <c r="P2539" s="4"/>
      <c r="Q2539" s="11">
        <v>0</v>
      </c>
      <c r="R2539" s="4"/>
      <c r="S2539" s="12"/>
    </row>
    <row r="2540" spans="1:19" x14ac:dyDescent="0.25">
      <c r="A2540" s="9" t="s">
        <v>1698</v>
      </c>
      <c r="B2540" s="9" t="s">
        <v>291</v>
      </c>
      <c r="C2540" s="4">
        <v>201003672</v>
      </c>
      <c r="D2540" s="4" t="s">
        <v>1715</v>
      </c>
      <c r="E2540" s="4" t="str">
        <f>"077612010"</f>
        <v>077612010</v>
      </c>
      <c r="F2540" s="10">
        <v>40344</v>
      </c>
      <c r="G2540" s="11">
        <v>5000</v>
      </c>
      <c r="H2540" s="11">
        <v>5000</v>
      </c>
      <c r="I2540" s="4" t="s">
        <v>401</v>
      </c>
      <c r="J2540" s="4" t="s">
        <v>402</v>
      </c>
      <c r="K2540" s="11">
        <v>0</v>
      </c>
      <c r="L2540" s="4"/>
      <c r="M2540" s="4"/>
      <c r="N2540" s="11">
        <v>0</v>
      </c>
      <c r="O2540" s="4"/>
      <c r="P2540" s="4"/>
      <c r="Q2540" s="11">
        <v>0</v>
      </c>
      <c r="R2540" s="4"/>
      <c r="S2540" s="12"/>
    </row>
    <row r="2541" spans="1:19" x14ac:dyDescent="0.25">
      <c r="A2541" s="9" t="s">
        <v>1698</v>
      </c>
      <c r="B2541" s="9" t="s">
        <v>291</v>
      </c>
      <c r="C2541" s="4">
        <v>201003747</v>
      </c>
      <c r="D2541" s="4" t="s">
        <v>1716</v>
      </c>
      <c r="E2541" s="4" t="str">
        <f>"075422010"</f>
        <v>075422010</v>
      </c>
      <c r="F2541" s="10">
        <v>40331</v>
      </c>
      <c r="G2541" s="11">
        <v>475000</v>
      </c>
      <c r="H2541" s="11">
        <v>475000</v>
      </c>
      <c r="I2541" s="4" t="s">
        <v>23</v>
      </c>
      <c r="J2541" s="4" t="s">
        <v>24</v>
      </c>
      <c r="K2541" s="11">
        <v>0</v>
      </c>
      <c r="L2541" s="4"/>
      <c r="M2541" s="4"/>
      <c r="N2541" s="11">
        <v>0</v>
      </c>
      <c r="O2541" s="4"/>
      <c r="P2541" s="4"/>
      <c r="Q2541" s="11">
        <v>0</v>
      </c>
      <c r="R2541" s="4"/>
      <c r="S2541" s="12"/>
    </row>
    <row r="2542" spans="1:19" x14ac:dyDescent="0.25">
      <c r="A2542" s="9" t="s">
        <v>1698</v>
      </c>
      <c r="B2542" s="9" t="s">
        <v>291</v>
      </c>
      <c r="C2542" s="4">
        <v>201003806</v>
      </c>
      <c r="D2542" s="4" t="s">
        <v>1709</v>
      </c>
      <c r="E2542" s="4" t="str">
        <f>"075262010"</f>
        <v>075262010</v>
      </c>
      <c r="F2542" s="10">
        <v>40332</v>
      </c>
      <c r="G2542" s="11">
        <v>89672.4</v>
      </c>
      <c r="H2542" s="11">
        <v>89672.4</v>
      </c>
      <c r="I2542" s="4" t="s">
        <v>142</v>
      </c>
      <c r="J2542" s="4" t="s">
        <v>143</v>
      </c>
      <c r="K2542" s="11">
        <v>0</v>
      </c>
      <c r="L2542" s="4"/>
      <c r="M2542" s="4"/>
      <c r="N2542" s="11">
        <v>0</v>
      </c>
      <c r="O2542" s="4"/>
      <c r="P2542" s="4"/>
      <c r="Q2542" s="11">
        <v>0</v>
      </c>
      <c r="R2542" s="4"/>
      <c r="S2542" s="12"/>
    </row>
    <row r="2543" spans="1:19" x14ac:dyDescent="0.25">
      <c r="A2543" s="9" t="s">
        <v>1698</v>
      </c>
      <c r="B2543" s="9" t="s">
        <v>1698</v>
      </c>
      <c r="C2543" s="4">
        <v>201004031</v>
      </c>
      <c r="D2543" s="4" t="s">
        <v>1717</v>
      </c>
      <c r="E2543" s="4" t="str">
        <f>"081162010"</f>
        <v>081162010</v>
      </c>
      <c r="F2543" s="10">
        <v>40345</v>
      </c>
      <c r="G2543" s="11">
        <v>550000</v>
      </c>
      <c r="H2543" s="11">
        <v>550000</v>
      </c>
      <c r="I2543" s="4" t="s">
        <v>98</v>
      </c>
      <c r="J2543" s="4" t="s">
        <v>99</v>
      </c>
      <c r="K2543" s="11">
        <v>0</v>
      </c>
      <c r="L2543" s="4"/>
      <c r="M2543" s="4"/>
      <c r="N2543" s="11">
        <v>0</v>
      </c>
      <c r="O2543" s="4"/>
      <c r="P2543" s="4"/>
      <c r="Q2543" s="11">
        <v>0</v>
      </c>
      <c r="R2543" s="4"/>
      <c r="S2543" s="12"/>
    </row>
    <row r="2544" spans="1:19" x14ac:dyDescent="0.25">
      <c r="A2544" s="9" t="s">
        <v>1698</v>
      </c>
      <c r="B2544" s="9" t="s">
        <v>291</v>
      </c>
      <c r="C2544" s="4">
        <v>201004167</v>
      </c>
      <c r="D2544" s="4"/>
      <c r="E2544" s="4" t="str">
        <f>"082512010"</f>
        <v>082512010</v>
      </c>
      <c r="F2544" s="10">
        <v>40347</v>
      </c>
      <c r="G2544" s="11">
        <v>50000</v>
      </c>
      <c r="H2544" s="11">
        <v>50000</v>
      </c>
      <c r="I2544" s="4" t="s">
        <v>23</v>
      </c>
      <c r="J2544" s="4" t="s">
        <v>24</v>
      </c>
      <c r="K2544" s="11">
        <v>0</v>
      </c>
      <c r="L2544" s="4"/>
      <c r="M2544" s="4"/>
      <c r="N2544" s="11">
        <v>0</v>
      </c>
      <c r="O2544" s="4"/>
      <c r="P2544" s="4"/>
      <c r="Q2544" s="11">
        <v>0</v>
      </c>
      <c r="R2544" s="4"/>
      <c r="S2544" s="12"/>
    </row>
    <row r="2545" spans="1:19" x14ac:dyDescent="0.25">
      <c r="A2545" s="9" t="s">
        <v>1698</v>
      </c>
      <c r="B2545" s="9" t="s">
        <v>291</v>
      </c>
      <c r="C2545" s="4">
        <v>201004203</v>
      </c>
      <c r="D2545" s="4" t="s">
        <v>1718</v>
      </c>
      <c r="E2545" s="4" t="str">
        <f>"084962010"</f>
        <v>084962010</v>
      </c>
      <c r="F2545" s="10">
        <v>40353</v>
      </c>
      <c r="G2545" s="11">
        <v>15000</v>
      </c>
      <c r="H2545" s="11">
        <v>15000</v>
      </c>
      <c r="I2545" s="4" t="s">
        <v>30</v>
      </c>
      <c r="J2545" s="4" t="s">
        <v>31</v>
      </c>
      <c r="K2545" s="11">
        <v>0</v>
      </c>
      <c r="L2545" s="4"/>
      <c r="M2545" s="4"/>
      <c r="N2545" s="11">
        <v>0</v>
      </c>
      <c r="O2545" s="4"/>
      <c r="P2545" s="4"/>
      <c r="Q2545" s="11">
        <v>0</v>
      </c>
      <c r="R2545" s="4"/>
      <c r="S2545" s="12"/>
    </row>
    <row r="2546" spans="1:19" x14ac:dyDescent="0.25">
      <c r="A2546" s="9" t="s">
        <v>1698</v>
      </c>
      <c r="B2546" s="9" t="s">
        <v>291</v>
      </c>
      <c r="C2546" s="4">
        <v>201004286</v>
      </c>
      <c r="D2546" s="4" t="s">
        <v>1709</v>
      </c>
      <c r="E2546" s="4" t="str">
        <f>"085022010"</f>
        <v>085022010</v>
      </c>
      <c r="F2546" s="10">
        <v>40352</v>
      </c>
      <c r="G2546" s="11">
        <v>62071.4</v>
      </c>
      <c r="H2546" s="11">
        <v>62071.4</v>
      </c>
      <c r="I2546" s="4" t="s">
        <v>142</v>
      </c>
      <c r="J2546" s="4" t="s">
        <v>143</v>
      </c>
      <c r="K2546" s="11">
        <v>0</v>
      </c>
      <c r="L2546" s="4"/>
      <c r="M2546" s="4"/>
      <c r="N2546" s="11">
        <v>0</v>
      </c>
      <c r="O2546" s="4"/>
      <c r="P2546" s="4"/>
      <c r="Q2546" s="11">
        <v>0</v>
      </c>
      <c r="R2546" s="4"/>
      <c r="S2546" s="12"/>
    </row>
    <row r="2547" spans="1:19" x14ac:dyDescent="0.25">
      <c r="A2547" s="9" t="s">
        <v>1698</v>
      </c>
      <c r="B2547" s="9" t="s">
        <v>291</v>
      </c>
      <c r="C2547" s="4">
        <v>201004492</v>
      </c>
      <c r="D2547" s="4"/>
      <c r="E2547" s="4" t="str">
        <f>"090042010"</f>
        <v>090042010</v>
      </c>
      <c r="F2547" s="10">
        <v>40367</v>
      </c>
      <c r="G2547" s="11">
        <v>5568.88</v>
      </c>
      <c r="H2547" s="11">
        <v>5568.88</v>
      </c>
      <c r="I2547" s="4" t="s">
        <v>142</v>
      </c>
      <c r="J2547" s="4" t="s">
        <v>143</v>
      </c>
      <c r="K2547" s="11">
        <v>0</v>
      </c>
      <c r="L2547" s="4"/>
      <c r="M2547" s="4"/>
      <c r="N2547" s="11">
        <v>0</v>
      </c>
      <c r="O2547" s="4"/>
      <c r="P2547" s="4"/>
      <c r="Q2547" s="11">
        <v>0</v>
      </c>
      <c r="R2547" s="4"/>
      <c r="S2547" s="12"/>
    </row>
    <row r="2548" spans="1:19" x14ac:dyDescent="0.25">
      <c r="A2548" s="9" t="s">
        <v>1698</v>
      </c>
      <c r="B2548" s="9" t="s">
        <v>291</v>
      </c>
      <c r="C2548" s="4">
        <v>201004672</v>
      </c>
      <c r="D2548" s="4"/>
      <c r="E2548" s="4" t="str">
        <f>"093602010"</f>
        <v>093602010</v>
      </c>
      <c r="F2548" s="10">
        <v>40378</v>
      </c>
      <c r="G2548" s="11">
        <v>836388.24</v>
      </c>
      <c r="H2548" s="11">
        <v>836388.24</v>
      </c>
      <c r="I2548" s="4" t="s">
        <v>142</v>
      </c>
      <c r="J2548" s="4" t="s">
        <v>143</v>
      </c>
      <c r="K2548" s="11">
        <v>0</v>
      </c>
      <c r="L2548" s="4"/>
      <c r="M2548" s="4"/>
      <c r="N2548" s="11">
        <v>0</v>
      </c>
      <c r="O2548" s="4"/>
      <c r="P2548" s="4"/>
      <c r="Q2548" s="11">
        <v>0</v>
      </c>
      <c r="R2548" s="4"/>
      <c r="S2548" s="12"/>
    </row>
    <row r="2549" spans="1:19" x14ac:dyDescent="0.25">
      <c r="A2549" s="9" t="s">
        <v>1698</v>
      </c>
      <c r="B2549" s="9" t="s">
        <v>291</v>
      </c>
      <c r="C2549" s="4">
        <v>201004730</v>
      </c>
      <c r="D2549" s="4" t="s">
        <v>2534</v>
      </c>
      <c r="E2549" s="4" t="str">
        <f>"094442010"</f>
        <v>094442010</v>
      </c>
      <c r="F2549" s="10">
        <v>40380</v>
      </c>
      <c r="G2549" s="11">
        <v>129804.77</v>
      </c>
      <c r="H2549" s="11">
        <v>0</v>
      </c>
      <c r="I2549" s="4"/>
      <c r="J2549" s="4"/>
      <c r="K2549" s="11">
        <v>129804.77</v>
      </c>
      <c r="L2549" s="4" t="s">
        <v>234</v>
      </c>
      <c r="M2549" s="4" t="s">
        <v>235</v>
      </c>
      <c r="N2549" s="11">
        <v>0</v>
      </c>
      <c r="O2549" s="4"/>
      <c r="P2549" s="4"/>
      <c r="Q2549" s="11">
        <v>0</v>
      </c>
      <c r="R2549" s="4"/>
      <c r="S2549" s="12"/>
    </row>
    <row r="2550" spans="1:19" x14ac:dyDescent="0.25">
      <c r="A2550" s="9" t="s">
        <v>1698</v>
      </c>
      <c r="B2550" s="9" t="s">
        <v>291</v>
      </c>
      <c r="C2550" s="4">
        <v>201004817</v>
      </c>
      <c r="D2550" s="4" t="s">
        <v>1719</v>
      </c>
      <c r="E2550" s="4" t="str">
        <f>"096772010"</f>
        <v>096772010</v>
      </c>
      <c r="F2550" s="10">
        <v>40387</v>
      </c>
      <c r="G2550" s="11">
        <v>4000</v>
      </c>
      <c r="H2550" s="11">
        <v>4000</v>
      </c>
      <c r="I2550" s="4" t="s">
        <v>23</v>
      </c>
      <c r="J2550" s="4" t="s">
        <v>24</v>
      </c>
      <c r="K2550" s="11">
        <v>0</v>
      </c>
      <c r="L2550" s="4"/>
      <c r="M2550" s="4"/>
      <c r="N2550" s="11">
        <v>0</v>
      </c>
      <c r="O2550" s="4"/>
      <c r="P2550" s="4"/>
      <c r="Q2550" s="11">
        <v>0</v>
      </c>
      <c r="R2550" s="4"/>
      <c r="S2550" s="12"/>
    </row>
    <row r="2551" spans="1:19" x14ac:dyDescent="0.25">
      <c r="A2551" s="9" t="s">
        <v>1698</v>
      </c>
      <c r="B2551" s="9" t="s">
        <v>291</v>
      </c>
      <c r="C2551" s="4">
        <v>201004820</v>
      </c>
      <c r="D2551" s="4"/>
      <c r="E2551" s="4" t="str">
        <f>"101472010"</f>
        <v>101472010</v>
      </c>
      <c r="F2551" s="10">
        <v>40407</v>
      </c>
      <c r="G2551" s="11">
        <v>8407.2199999999993</v>
      </c>
      <c r="H2551" s="11">
        <v>8407.2199999999993</v>
      </c>
      <c r="I2551" s="4" t="s">
        <v>142</v>
      </c>
      <c r="J2551" s="4" t="s">
        <v>143</v>
      </c>
      <c r="K2551" s="11">
        <v>0</v>
      </c>
      <c r="L2551" s="4"/>
      <c r="M2551" s="4"/>
      <c r="N2551" s="11">
        <v>0</v>
      </c>
      <c r="O2551" s="4"/>
      <c r="P2551" s="4"/>
      <c r="Q2551" s="11">
        <v>0</v>
      </c>
      <c r="R2551" s="4"/>
      <c r="S2551" s="12"/>
    </row>
    <row r="2552" spans="1:19" x14ac:dyDescent="0.25">
      <c r="A2552" s="9" t="s">
        <v>1698</v>
      </c>
      <c r="B2552" s="9" t="s">
        <v>291</v>
      </c>
      <c r="C2552" s="4">
        <v>201004889</v>
      </c>
      <c r="D2552" s="4" t="s">
        <v>1720</v>
      </c>
      <c r="E2552" s="4" t="str">
        <f>"105872010"</f>
        <v>105872010</v>
      </c>
      <c r="F2552" s="10">
        <v>40417</v>
      </c>
      <c r="G2552" s="11">
        <v>3290</v>
      </c>
      <c r="H2552" s="11">
        <v>3290</v>
      </c>
      <c r="I2552" s="4" t="s">
        <v>23</v>
      </c>
      <c r="J2552" s="4" t="s">
        <v>24</v>
      </c>
      <c r="K2552" s="11">
        <v>0</v>
      </c>
      <c r="L2552" s="4"/>
      <c r="M2552" s="4"/>
      <c r="N2552" s="11">
        <v>0</v>
      </c>
      <c r="O2552" s="4"/>
      <c r="P2552" s="4"/>
      <c r="Q2552" s="11">
        <v>0</v>
      </c>
      <c r="R2552" s="4"/>
      <c r="S2552" s="12"/>
    </row>
    <row r="2553" spans="1:19" x14ac:dyDescent="0.25">
      <c r="A2553" s="9" t="s">
        <v>1698</v>
      </c>
      <c r="B2553" s="9" t="s">
        <v>291</v>
      </c>
      <c r="C2553" s="4">
        <v>201004952</v>
      </c>
      <c r="D2553" s="4"/>
      <c r="E2553" s="4" t="str">
        <f>"112902010"</f>
        <v>112902010</v>
      </c>
      <c r="F2553" s="10">
        <v>40448</v>
      </c>
      <c r="G2553" s="11">
        <v>47500</v>
      </c>
      <c r="H2553" s="11">
        <v>47500</v>
      </c>
      <c r="I2553" s="4" t="s">
        <v>98</v>
      </c>
      <c r="J2553" s="4" t="s">
        <v>99</v>
      </c>
      <c r="K2553" s="11">
        <v>0</v>
      </c>
      <c r="L2553" s="4"/>
      <c r="M2553" s="4"/>
      <c r="N2553" s="11">
        <v>0</v>
      </c>
      <c r="O2553" s="4"/>
      <c r="P2553" s="4"/>
      <c r="Q2553" s="11">
        <v>0</v>
      </c>
      <c r="R2553" s="4"/>
      <c r="S2553" s="12"/>
    </row>
    <row r="2554" spans="1:19" x14ac:dyDescent="0.25">
      <c r="A2554" s="9" t="s">
        <v>1698</v>
      </c>
      <c r="B2554" s="9" t="s">
        <v>291</v>
      </c>
      <c r="C2554" s="4">
        <v>201005416</v>
      </c>
      <c r="D2554" s="4" t="s">
        <v>1709</v>
      </c>
      <c r="E2554" s="4" t="str">
        <f>"107492010"</f>
        <v>107492010</v>
      </c>
      <c r="F2554" s="10">
        <v>40423</v>
      </c>
      <c r="G2554" s="11">
        <v>93997.03</v>
      </c>
      <c r="H2554" s="11">
        <v>93997.03</v>
      </c>
      <c r="I2554" s="4" t="s">
        <v>142</v>
      </c>
      <c r="J2554" s="4" t="s">
        <v>143</v>
      </c>
      <c r="K2554" s="11">
        <v>0</v>
      </c>
      <c r="L2554" s="4"/>
      <c r="M2554" s="4"/>
      <c r="N2554" s="11">
        <v>0</v>
      </c>
      <c r="O2554" s="4"/>
      <c r="P2554" s="4"/>
      <c r="Q2554" s="11">
        <v>0</v>
      </c>
      <c r="R2554" s="4"/>
      <c r="S2554" s="12"/>
    </row>
    <row r="2555" spans="1:19" x14ac:dyDescent="0.25">
      <c r="A2555" s="13" t="s">
        <v>1698</v>
      </c>
      <c r="B2555" s="13" t="s">
        <v>291</v>
      </c>
      <c r="C2555" s="14">
        <v>201005520</v>
      </c>
      <c r="D2555" s="14" t="s">
        <v>1721</v>
      </c>
      <c r="E2555" s="14" t="str">
        <f>"110772010"</f>
        <v>110772010</v>
      </c>
      <c r="F2555" s="15">
        <v>40436</v>
      </c>
      <c r="G2555" s="16">
        <v>46000</v>
      </c>
      <c r="H2555" s="16">
        <v>46000</v>
      </c>
      <c r="I2555" s="14" t="s">
        <v>30</v>
      </c>
      <c r="J2555" s="14" t="s">
        <v>31</v>
      </c>
      <c r="K2555" s="16">
        <v>0</v>
      </c>
      <c r="L2555" s="14"/>
      <c r="M2555" s="14"/>
      <c r="N2555" s="16">
        <v>0</v>
      </c>
      <c r="O2555" s="14"/>
      <c r="P2555" s="14"/>
      <c r="Q2555" s="16">
        <v>0</v>
      </c>
      <c r="R2555" s="14"/>
      <c r="S2555" s="17"/>
    </row>
    <row r="2558" spans="1:19" s="20" customFormat="1" ht="31.5" customHeight="1" x14ac:dyDescent="0.25">
      <c r="A2558" s="21" t="s">
        <v>2535</v>
      </c>
      <c r="B2558" s="21"/>
      <c r="C2558" s="21"/>
      <c r="D2558" s="21"/>
      <c r="E2558" s="21"/>
      <c r="F2558" s="21"/>
      <c r="G2558" s="21"/>
      <c r="H2558" s="21"/>
      <c r="I2558" s="21"/>
      <c r="J2558" s="21"/>
      <c r="K2558" s="21"/>
      <c r="L2558" s="21"/>
      <c r="M2558" s="21"/>
      <c r="N2558" s="21"/>
      <c r="O2558" s="21"/>
      <c r="P2558" s="21"/>
      <c r="Q2558" s="21"/>
      <c r="R2558" s="21"/>
      <c r="S2558" s="21"/>
    </row>
  </sheetData>
  <sortState ref="A6:W2555">
    <sortCondition ref="A6:A2555"/>
    <sortCondition ref="C6:C2555"/>
  </sortState>
  <mergeCells count="1">
    <mergeCell ref="A2558:S255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92"/>
  <sheetViews>
    <sheetView workbookViewId="0">
      <pane ySplit="5" topLeftCell="A6" activePane="bottomLeft" state="frozen"/>
      <selection pane="bottomLeft" activeCell="A6" sqref="A6"/>
    </sheetView>
  </sheetViews>
  <sheetFormatPr defaultColWidth="9.140625" defaultRowHeight="15" x14ac:dyDescent="0.25"/>
  <cols>
    <col min="1" max="1" width="40.7109375" style="3" customWidth="1"/>
    <col min="2" max="2" width="40.7109375" style="20" customWidth="1"/>
    <col min="3" max="3" width="10" style="3" bestFit="1" customWidth="1"/>
    <col min="4" max="4" width="22.7109375" style="3" customWidth="1"/>
    <col min="5" max="5" width="13.140625" style="3" bestFit="1" customWidth="1"/>
    <col min="6" max="6" width="18.7109375" style="3" bestFit="1" customWidth="1"/>
    <col min="7" max="7" width="27.140625" style="3" bestFit="1" customWidth="1"/>
    <col min="8" max="8" width="16.85546875" style="3" bestFit="1" customWidth="1"/>
    <col min="9" max="9" width="24.85546875" style="3" bestFit="1" customWidth="1"/>
    <col min="10" max="10" width="45.42578125" style="3" bestFit="1" customWidth="1"/>
    <col min="11" max="11" width="21.42578125" style="3" bestFit="1" customWidth="1"/>
    <col min="12" max="12" width="26.85546875" style="3" bestFit="1" customWidth="1"/>
    <col min="13" max="13" width="38" style="3" bestFit="1" customWidth="1"/>
    <col min="14" max="14" width="12.42578125" style="3" bestFit="1" customWidth="1"/>
    <col min="15" max="15" width="21.140625" style="3" bestFit="1" customWidth="1"/>
    <col min="16" max="16" width="32.5703125" style="3" bestFit="1" customWidth="1"/>
    <col min="17" max="17" width="15.42578125" style="3" bestFit="1" customWidth="1"/>
    <col min="18" max="18" width="20.85546875" style="3" bestFit="1" customWidth="1"/>
    <col min="19" max="19" width="32" style="3" bestFit="1" customWidth="1"/>
    <col min="20" max="16384" width="9.140625" style="3"/>
  </cols>
  <sheetData>
    <row r="1" spans="1:19" s="1" customFormat="1" x14ac:dyDescent="0.25">
      <c r="A1" s="1" t="s">
        <v>0</v>
      </c>
      <c r="G1" s="5"/>
      <c r="H1" s="5"/>
      <c r="K1" s="5"/>
      <c r="N1" s="5"/>
      <c r="Q1" s="5"/>
    </row>
    <row r="2" spans="1:19" s="1" customFormat="1" x14ac:dyDescent="0.25">
      <c r="A2" s="1" t="s">
        <v>1</v>
      </c>
      <c r="G2" s="5"/>
      <c r="H2" s="5"/>
      <c r="K2" s="5"/>
      <c r="N2" s="5"/>
      <c r="Q2" s="5"/>
    </row>
    <row r="3" spans="1:19" s="1" customFormat="1" x14ac:dyDescent="0.25">
      <c r="D3" s="19"/>
      <c r="G3" s="5"/>
      <c r="H3" s="5"/>
      <c r="K3" s="5"/>
      <c r="N3" s="5"/>
      <c r="Q3" s="5"/>
    </row>
    <row r="4" spans="1:19" s="1" customFormat="1" x14ac:dyDescent="0.25">
      <c r="A4" s="1" t="s">
        <v>1722</v>
      </c>
      <c r="G4" s="5"/>
      <c r="H4" s="5"/>
      <c r="K4" s="5"/>
      <c r="N4" s="5"/>
      <c r="Q4" s="5"/>
    </row>
    <row r="5" spans="1:19" s="1" customFormat="1" x14ac:dyDescent="0.25">
      <c r="A5" s="6" t="s">
        <v>3</v>
      </c>
      <c r="B5" s="6" t="s">
        <v>2536</v>
      </c>
      <c r="C5" s="2" t="s">
        <v>4</v>
      </c>
      <c r="D5" s="2" t="s">
        <v>5</v>
      </c>
      <c r="E5" s="2" t="s">
        <v>6</v>
      </c>
      <c r="F5" s="2" t="s">
        <v>7</v>
      </c>
      <c r="G5" s="7" t="s">
        <v>8</v>
      </c>
      <c r="H5" s="7" t="s">
        <v>9</v>
      </c>
      <c r="I5" s="2" t="s">
        <v>10</v>
      </c>
      <c r="J5" s="2" t="s">
        <v>11</v>
      </c>
      <c r="K5" s="7" t="s">
        <v>12</v>
      </c>
      <c r="L5" s="2" t="s">
        <v>13</v>
      </c>
      <c r="M5" s="2" t="s">
        <v>14</v>
      </c>
      <c r="N5" s="7" t="s">
        <v>15</v>
      </c>
      <c r="O5" s="2" t="s">
        <v>16</v>
      </c>
      <c r="P5" s="2" t="s">
        <v>17</v>
      </c>
      <c r="Q5" s="7" t="s">
        <v>18</v>
      </c>
      <c r="R5" s="2" t="s">
        <v>19</v>
      </c>
      <c r="S5" s="8" t="s">
        <v>20</v>
      </c>
    </row>
    <row r="6" spans="1:19" x14ac:dyDescent="0.25">
      <c r="A6" s="9" t="s">
        <v>21</v>
      </c>
      <c r="B6" s="9" t="s">
        <v>21</v>
      </c>
      <c r="C6" s="4">
        <v>201000032</v>
      </c>
      <c r="D6" s="4"/>
      <c r="E6" s="4" t="str">
        <f>"000682010"</f>
        <v>000682010</v>
      </c>
      <c r="F6" s="10">
        <v>40092</v>
      </c>
      <c r="G6" s="11">
        <v>3805.54</v>
      </c>
      <c r="H6" s="11">
        <v>3805.54</v>
      </c>
      <c r="I6" s="4" t="s">
        <v>366</v>
      </c>
      <c r="J6" s="4" t="s">
        <v>367</v>
      </c>
      <c r="K6" s="11">
        <v>0</v>
      </c>
      <c r="L6" s="4"/>
      <c r="M6" s="4"/>
      <c r="N6" s="11">
        <v>0</v>
      </c>
      <c r="O6" s="4"/>
      <c r="P6" s="4"/>
      <c r="Q6" s="11">
        <v>0</v>
      </c>
      <c r="R6" s="4"/>
      <c r="S6" s="12"/>
    </row>
    <row r="7" spans="1:19" x14ac:dyDescent="0.25">
      <c r="A7" s="9" t="s">
        <v>21</v>
      </c>
      <c r="B7" s="9" t="s">
        <v>21</v>
      </c>
      <c r="C7" s="4">
        <v>201000478</v>
      </c>
      <c r="D7" s="4" t="s">
        <v>1723</v>
      </c>
      <c r="E7" s="4" t="str">
        <f>"009912010"</f>
        <v>009912010</v>
      </c>
      <c r="F7" s="10">
        <v>40123</v>
      </c>
      <c r="G7" s="11">
        <v>18794.849999999999</v>
      </c>
      <c r="H7" s="11">
        <v>18794.849999999999</v>
      </c>
      <c r="I7" s="4" t="s">
        <v>366</v>
      </c>
      <c r="J7" s="4" t="s">
        <v>367</v>
      </c>
      <c r="K7" s="11">
        <v>0</v>
      </c>
      <c r="L7" s="4"/>
      <c r="M7" s="4"/>
      <c r="N7" s="11">
        <v>0</v>
      </c>
      <c r="O7" s="4"/>
      <c r="P7" s="4"/>
      <c r="Q7" s="11">
        <v>0</v>
      </c>
      <c r="R7" s="4"/>
      <c r="S7" s="12"/>
    </row>
    <row r="8" spans="1:19" x14ac:dyDescent="0.25">
      <c r="A8" s="9" t="s">
        <v>21</v>
      </c>
      <c r="B8" s="9" t="s">
        <v>21</v>
      </c>
      <c r="C8" s="4">
        <v>201000755</v>
      </c>
      <c r="D8" s="4"/>
      <c r="E8" s="4" t="str">
        <f>"014422010"</f>
        <v>014422010</v>
      </c>
      <c r="F8" s="10">
        <v>40141</v>
      </c>
      <c r="G8" s="11">
        <v>15510.51</v>
      </c>
      <c r="H8" s="11">
        <v>15510.51</v>
      </c>
      <c r="I8" s="4" t="s">
        <v>366</v>
      </c>
      <c r="J8" s="4" t="s">
        <v>367</v>
      </c>
      <c r="K8" s="11">
        <v>0</v>
      </c>
      <c r="L8" s="4"/>
      <c r="M8" s="4"/>
      <c r="N8" s="11">
        <v>0</v>
      </c>
      <c r="O8" s="4"/>
      <c r="P8" s="4"/>
      <c r="Q8" s="11">
        <v>0</v>
      </c>
      <c r="R8" s="4"/>
      <c r="S8" s="12"/>
    </row>
    <row r="9" spans="1:19" x14ac:dyDescent="0.25">
      <c r="A9" s="9" t="s">
        <v>21</v>
      </c>
      <c r="B9" s="9" t="s">
        <v>21</v>
      </c>
      <c r="C9" s="4">
        <v>201000785</v>
      </c>
      <c r="D9" s="4" t="s">
        <v>1724</v>
      </c>
      <c r="E9" s="4" t="str">
        <f>"014602010"</f>
        <v>014602010</v>
      </c>
      <c r="F9" s="10">
        <v>40141</v>
      </c>
      <c r="G9" s="11">
        <v>10850.27</v>
      </c>
      <c r="H9" s="11">
        <v>10850.27</v>
      </c>
      <c r="I9" s="4" t="s">
        <v>366</v>
      </c>
      <c r="J9" s="4" t="s">
        <v>367</v>
      </c>
      <c r="K9" s="11">
        <v>0</v>
      </c>
      <c r="L9" s="4"/>
      <c r="M9" s="4"/>
      <c r="N9" s="11">
        <v>0</v>
      </c>
      <c r="O9" s="4"/>
      <c r="P9" s="4"/>
      <c r="Q9" s="11">
        <v>0</v>
      </c>
      <c r="R9" s="4"/>
      <c r="S9" s="12"/>
    </row>
    <row r="10" spans="1:19" x14ac:dyDescent="0.25">
      <c r="A10" s="9" t="s">
        <v>21</v>
      </c>
      <c r="B10" s="9" t="s">
        <v>21</v>
      </c>
      <c r="C10" s="4">
        <v>201001239</v>
      </c>
      <c r="D10" s="4"/>
      <c r="E10" s="4" t="str">
        <f>"024092010"</f>
        <v>024092010</v>
      </c>
      <c r="F10" s="10">
        <v>40170</v>
      </c>
      <c r="G10" s="11">
        <v>10390.15</v>
      </c>
      <c r="H10" s="11">
        <v>10390.15</v>
      </c>
      <c r="I10" s="4" t="s">
        <v>366</v>
      </c>
      <c r="J10" s="4" t="s">
        <v>367</v>
      </c>
      <c r="K10" s="11">
        <v>0</v>
      </c>
      <c r="L10" s="4"/>
      <c r="M10" s="4"/>
      <c r="N10" s="11">
        <v>0</v>
      </c>
      <c r="O10" s="4"/>
      <c r="P10" s="4"/>
      <c r="Q10" s="11">
        <v>0</v>
      </c>
      <c r="R10" s="4"/>
      <c r="S10" s="12"/>
    </row>
    <row r="11" spans="1:19" x14ac:dyDescent="0.25">
      <c r="A11" s="9" t="s">
        <v>21</v>
      </c>
      <c r="B11" s="9" t="s">
        <v>21</v>
      </c>
      <c r="C11" s="4">
        <v>201002487</v>
      </c>
      <c r="D11" s="4"/>
      <c r="E11" s="4" t="str">
        <f>"049242010"</f>
        <v>049242010</v>
      </c>
      <c r="F11" s="10">
        <v>40259</v>
      </c>
      <c r="G11" s="11">
        <v>8454.6200000000008</v>
      </c>
      <c r="H11" s="11">
        <v>8454.6200000000008</v>
      </c>
      <c r="I11" s="4" t="s">
        <v>366</v>
      </c>
      <c r="J11" s="4" t="s">
        <v>367</v>
      </c>
      <c r="K11" s="11">
        <v>0</v>
      </c>
      <c r="L11" s="4"/>
      <c r="M11" s="4"/>
      <c r="N11" s="11">
        <v>0</v>
      </c>
      <c r="O11" s="4"/>
      <c r="P11" s="4"/>
      <c r="Q11" s="11">
        <v>0</v>
      </c>
      <c r="R11" s="4"/>
      <c r="S11" s="12"/>
    </row>
    <row r="12" spans="1:19" x14ac:dyDescent="0.25">
      <c r="A12" s="9" t="s">
        <v>21</v>
      </c>
      <c r="B12" s="9" t="s">
        <v>21</v>
      </c>
      <c r="C12" s="4">
        <v>201002725</v>
      </c>
      <c r="D12" s="4"/>
      <c r="E12" s="4" t="str">
        <f>"055532010"</f>
        <v>055532010</v>
      </c>
      <c r="F12" s="10">
        <v>40273</v>
      </c>
      <c r="G12" s="11">
        <v>6781.68</v>
      </c>
      <c r="H12" s="11">
        <v>6781.68</v>
      </c>
      <c r="I12" s="4" t="s">
        <v>366</v>
      </c>
      <c r="J12" s="4" t="s">
        <v>367</v>
      </c>
      <c r="K12" s="11">
        <v>0</v>
      </c>
      <c r="L12" s="4"/>
      <c r="M12" s="4"/>
      <c r="N12" s="11">
        <v>0</v>
      </c>
      <c r="O12" s="4"/>
      <c r="P12" s="4"/>
      <c r="Q12" s="11">
        <v>0</v>
      </c>
      <c r="R12" s="4"/>
      <c r="S12" s="12"/>
    </row>
    <row r="13" spans="1:19" x14ac:dyDescent="0.25">
      <c r="A13" s="9" t="s">
        <v>21</v>
      </c>
      <c r="B13" s="9" t="s">
        <v>21</v>
      </c>
      <c r="C13" s="4">
        <v>201002728</v>
      </c>
      <c r="D13" s="4"/>
      <c r="E13" s="4" t="str">
        <f>"054992010"</f>
        <v>054992010</v>
      </c>
      <c r="F13" s="10">
        <v>40281</v>
      </c>
      <c r="G13" s="11">
        <v>5245</v>
      </c>
      <c r="H13" s="11">
        <v>5245</v>
      </c>
      <c r="I13" s="4" t="s">
        <v>366</v>
      </c>
      <c r="J13" s="4" t="s">
        <v>367</v>
      </c>
      <c r="K13" s="11">
        <v>0</v>
      </c>
      <c r="L13" s="4"/>
      <c r="M13" s="4"/>
      <c r="N13" s="11">
        <v>0</v>
      </c>
      <c r="O13" s="4"/>
      <c r="P13" s="4"/>
      <c r="Q13" s="11">
        <v>0</v>
      </c>
      <c r="R13" s="4"/>
      <c r="S13" s="12"/>
    </row>
    <row r="14" spans="1:19" x14ac:dyDescent="0.25">
      <c r="A14" s="9" t="s">
        <v>21</v>
      </c>
      <c r="B14" s="9" t="s">
        <v>21</v>
      </c>
      <c r="C14" s="4">
        <v>201002770</v>
      </c>
      <c r="D14" s="4"/>
      <c r="E14" s="4" t="str">
        <f>"053922010"</f>
        <v>053922010</v>
      </c>
      <c r="F14" s="10">
        <v>40270</v>
      </c>
      <c r="G14" s="11">
        <v>8100</v>
      </c>
      <c r="H14" s="11">
        <v>8100</v>
      </c>
      <c r="I14" s="4" t="s">
        <v>366</v>
      </c>
      <c r="J14" s="4" t="s">
        <v>367</v>
      </c>
      <c r="K14" s="11">
        <v>0</v>
      </c>
      <c r="L14" s="4"/>
      <c r="M14" s="4"/>
      <c r="N14" s="11">
        <v>0</v>
      </c>
      <c r="O14" s="4"/>
      <c r="P14" s="4"/>
      <c r="Q14" s="11">
        <v>0</v>
      </c>
      <c r="R14" s="4"/>
      <c r="S14" s="12"/>
    </row>
    <row r="15" spans="1:19" x14ac:dyDescent="0.25">
      <c r="A15" s="9" t="s">
        <v>21</v>
      </c>
      <c r="B15" s="9" t="s">
        <v>21</v>
      </c>
      <c r="C15" s="4">
        <v>201002826</v>
      </c>
      <c r="D15" s="4"/>
      <c r="E15" s="4" t="str">
        <f>"055732010"</f>
        <v>055732010</v>
      </c>
      <c r="F15" s="10">
        <v>40273</v>
      </c>
      <c r="G15" s="11">
        <v>2870.01</v>
      </c>
      <c r="H15" s="11">
        <v>2870.01</v>
      </c>
      <c r="I15" s="4" t="s">
        <v>366</v>
      </c>
      <c r="J15" s="4" t="s">
        <v>367</v>
      </c>
      <c r="K15" s="11">
        <v>0</v>
      </c>
      <c r="L15" s="4"/>
      <c r="M15" s="4"/>
      <c r="N15" s="11">
        <v>0</v>
      </c>
      <c r="O15" s="4"/>
      <c r="P15" s="4"/>
      <c r="Q15" s="11">
        <v>0</v>
      </c>
      <c r="R15" s="4"/>
      <c r="S15" s="12"/>
    </row>
    <row r="16" spans="1:19" x14ac:dyDescent="0.25">
      <c r="A16" s="9" t="s">
        <v>21</v>
      </c>
      <c r="B16" s="9" t="s">
        <v>21</v>
      </c>
      <c r="C16" s="4">
        <v>201003103</v>
      </c>
      <c r="D16" s="4"/>
      <c r="E16" s="4" t="str">
        <f>"061642010"</f>
        <v>061642010</v>
      </c>
      <c r="F16" s="10">
        <v>40291</v>
      </c>
      <c r="G16" s="11">
        <v>17958.060000000001</v>
      </c>
      <c r="H16" s="11">
        <v>17958.060000000001</v>
      </c>
      <c r="I16" s="4" t="s">
        <v>366</v>
      </c>
      <c r="J16" s="4" t="s">
        <v>367</v>
      </c>
      <c r="K16" s="11">
        <v>0</v>
      </c>
      <c r="L16" s="4"/>
      <c r="M16" s="4"/>
      <c r="N16" s="11">
        <v>0</v>
      </c>
      <c r="O16" s="4"/>
      <c r="P16" s="4"/>
      <c r="Q16" s="11">
        <v>0</v>
      </c>
      <c r="R16" s="4"/>
      <c r="S16" s="12"/>
    </row>
    <row r="17" spans="1:19" x14ac:dyDescent="0.25">
      <c r="A17" s="9" t="s">
        <v>21</v>
      </c>
      <c r="B17" s="9" t="s">
        <v>21</v>
      </c>
      <c r="C17" s="4">
        <v>201003744</v>
      </c>
      <c r="D17" s="4"/>
      <c r="E17" s="4" t="str">
        <f>"074662010"</f>
        <v>074662010</v>
      </c>
      <c r="F17" s="10">
        <v>40331</v>
      </c>
      <c r="G17" s="11">
        <v>5553.97</v>
      </c>
      <c r="H17" s="11">
        <v>5553.97</v>
      </c>
      <c r="I17" s="4" t="s">
        <v>366</v>
      </c>
      <c r="J17" s="4" t="s">
        <v>367</v>
      </c>
      <c r="K17" s="11">
        <v>0</v>
      </c>
      <c r="L17" s="4"/>
      <c r="M17" s="4"/>
      <c r="N17" s="11">
        <v>0</v>
      </c>
      <c r="O17" s="4"/>
      <c r="P17" s="4"/>
      <c r="Q17" s="11">
        <v>0</v>
      </c>
      <c r="R17" s="4"/>
      <c r="S17" s="12"/>
    </row>
    <row r="18" spans="1:19" x14ac:dyDescent="0.25">
      <c r="A18" s="9" t="s">
        <v>21</v>
      </c>
      <c r="B18" s="9" t="s">
        <v>21</v>
      </c>
      <c r="C18" s="4">
        <v>201003902</v>
      </c>
      <c r="D18" s="4"/>
      <c r="E18" s="4" t="str">
        <f>"080102010"</f>
        <v>080102010</v>
      </c>
      <c r="F18" s="10">
        <v>40346</v>
      </c>
      <c r="G18" s="11">
        <v>3693.87</v>
      </c>
      <c r="H18" s="11">
        <v>3693.87</v>
      </c>
      <c r="I18" s="4" t="s">
        <v>366</v>
      </c>
      <c r="J18" s="4" t="s">
        <v>367</v>
      </c>
      <c r="K18" s="11">
        <v>0</v>
      </c>
      <c r="L18" s="4"/>
      <c r="M18" s="4"/>
      <c r="N18" s="11">
        <v>0</v>
      </c>
      <c r="O18" s="4"/>
      <c r="P18" s="4"/>
      <c r="Q18" s="11">
        <v>0</v>
      </c>
      <c r="R18" s="4"/>
      <c r="S18" s="12"/>
    </row>
    <row r="19" spans="1:19" x14ac:dyDescent="0.25">
      <c r="A19" s="9" t="s">
        <v>21</v>
      </c>
      <c r="B19" s="9" t="s">
        <v>21</v>
      </c>
      <c r="C19" s="4">
        <v>201004152</v>
      </c>
      <c r="D19" s="4"/>
      <c r="E19" s="4" t="str">
        <f>"082232010"</f>
        <v>082232010</v>
      </c>
      <c r="F19" s="10">
        <v>40347</v>
      </c>
      <c r="G19" s="11">
        <v>4436.18</v>
      </c>
      <c r="H19" s="11">
        <v>4436.18</v>
      </c>
      <c r="I19" s="4" t="s">
        <v>366</v>
      </c>
      <c r="J19" s="4" t="s">
        <v>367</v>
      </c>
      <c r="K19" s="11">
        <v>0</v>
      </c>
      <c r="L19" s="4"/>
      <c r="M19" s="4"/>
      <c r="N19" s="11">
        <v>0</v>
      </c>
      <c r="O19" s="4"/>
      <c r="P19" s="4"/>
      <c r="Q19" s="11">
        <v>0</v>
      </c>
      <c r="R19" s="4"/>
      <c r="S19" s="12"/>
    </row>
    <row r="20" spans="1:19" x14ac:dyDescent="0.25">
      <c r="A20" s="9" t="s">
        <v>21</v>
      </c>
      <c r="B20" s="9" t="s">
        <v>21</v>
      </c>
      <c r="C20" s="4">
        <v>201004201</v>
      </c>
      <c r="D20" s="4" t="s">
        <v>1725</v>
      </c>
      <c r="E20" s="4" t="str">
        <f>"097392010"</f>
        <v>097392010</v>
      </c>
      <c r="F20" s="10">
        <v>40394</v>
      </c>
      <c r="G20" s="11">
        <v>12500</v>
      </c>
      <c r="H20" s="11">
        <v>12500</v>
      </c>
      <c r="I20" s="4" t="s">
        <v>366</v>
      </c>
      <c r="J20" s="4" t="s">
        <v>367</v>
      </c>
      <c r="K20" s="11">
        <v>0</v>
      </c>
      <c r="L20" s="4"/>
      <c r="M20" s="4"/>
      <c r="N20" s="11">
        <v>0</v>
      </c>
      <c r="O20" s="4"/>
      <c r="P20" s="4"/>
      <c r="Q20" s="11">
        <v>0</v>
      </c>
      <c r="R20" s="4"/>
      <c r="S20" s="12"/>
    </row>
    <row r="21" spans="1:19" x14ac:dyDescent="0.25">
      <c r="A21" s="9" t="s">
        <v>32</v>
      </c>
      <c r="B21" s="9" t="s">
        <v>32</v>
      </c>
      <c r="C21" s="4">
        <v>201000623</v>
      </c>
      <c r="D21" s="4"/>
      <c r="E21" s="4" t="str">
        <f>"012372010"</f>
        <v>012372010</v>
      </c>
      <c r="F21" s="10">
        <v>40134</v>
      </c>
      <c r="G21" s="11">
        <v>3277.72</v>
      </c>
      <c r="H21" s="11">
        <v>3277.72</v>
      </c>
      <c r="I21" s="4" t="s">
        <v>366</v>
      </c>
      <c r="J21" s="4" t="s">
        <v>367</v>
      </c>
      <c r="K21" s="11">
        <v>0</v>
      </c>
      <c r="L21" s="4"/>
      <c r="M21" s="4"/>
      <c r="N21" s="11">
        <v>0</v>
      </c>
      <c r="O21" s="4"/>
      <c r="P21" s="4"/>
      <c r="Q21" s="11">
        <v>0</v>
      </c>
      <c r="R21" s="4"/>
      <c r="S21" s="12"/>
    </row>
    <row r="22" spans="1:19" x14ac:dyDescent="0.25">
      <c r="A22" s="9" t="s">
        <v>32</v>
      </c>
      <c r="B22" s="9" t="s">
        <v>195</v>
      </c>
      <c r="C22" s="4">
        <v>201005492</v>
      </c>
      <c r="D22" s="4"/>
      <c r="E22" s="4" t="str">
        <f>"109172010"</f>
        <v>109172010</v>
      </c>
      <c r="F22" s="10">
        <v>40429</v>
      </c>
      <c r="G22" s="11">
        <v>4153</v>
      </c>
      <c r="H22" s="11">
        <v>4153</v>
      </c>
      <c r="I22" s="4" t="s">
        <v>366</v>
      </c>
      <c r="J22" s="4" t="s">
        <v>367</v>
      </c>
      <c r="K22" s="11">
        <v>0</v>
      </c>
      <c r="L22" s="4"/>
      <c r="M22" s="4"/>
      <c r="N22" s="11">
        <v>0</v>
      </c>
      <c r="O22" s="4"/>
      <c r="P22" s="4"/>
      <c r="Q22" s="11">
        <v>0</v>
      </c>
      <c r="R22" s="4"/>
      <c r="S22" s="12"/>
    </row>
    <row r="23" spans="1:19" x14ac:dyDescent="0.25">
      <c r="A23" s="9" t="s">
        <v>34</v>
      </c>
      <c r="B23" s="9" t="s">
        <v>34</v>
      </c>
      <c r="C23" s="4">
        <v>200904571</v>
      </c>
      <c r="D23" s="4"/>
      <c r="E23" s="4" t="str">
        <f>"088252009"</f>
        <v>088252009</v>
      </c>
      <c r="F23" s="10">
        <v>40115</v>
      </c>
      <c r="G23" s="11">
        <v>3634.49</v>
      </c>
      <c r="H23" s="11">
        <v>3634.49</v>
      </c>
      <c r="I23" s="4" t="s">
        <v>366</v>
      </c>
      <c r="J23" s="4" t="s">
        <v>367</v>
      </c>
      <c r="K23" s="11">
        <v>0</v>
      </c>
      <c r="L23" s="4"/>
      <c r="M23" s="4"/>
      <c r="N23" s="11">
        <v>0</v>
      </c>
      <c r="O23" s="4"/>
      <c r="P23" s="4"/>
      <c r="Q23" s="11">
        <v>0</v>
      </c>
      <c r="R23" s="4"/>
      <c r="S23" s="12"/>
    </row>
    <row r="24" spans="1:19" x14ac:dyDescent="0.25">
      <c r="A24" s="9" t="s">
        <v>34</v>
      </c>
      <c r="B24" s="9" t="s">
        <v>34</v>
      </c>
      <c r="C24" s="4">
        <v>201000023</v>
      </c>
      <c r="D24" s="4"/>
      <c r="E24" s="4" t="str">
        <f>"057752010"</f>
        <v>057752010</v>
      </c>
      <c r="F24" s="10">
        <v>40283</v>
      </c>
      <c r="G24" s="11">
        <v>3438.04</v>
      </c>
      <c r="H24" s="11">
        <v>3438.04</v>
      </c>
      <c r="I24" s="4" t="s">
        <v>366</v>
      </c>
      <c r="J24" s="4" t="s">
        <v>367</v>
      </c>
      <c r="K24" s="11">
        <v>0</v>
      </c>
      <c r="L24" s="4"/>
      <c r="M24" s="4"/>
      <c r="N24" s="11">
        <v>0</v>
      </c>
      <c r="O24" s="4"/>
      <c r="P24" s="4"/>
      <c r="Q24" s="11">
        <v>0</v>
      </c>
      <c r="R24" s="4"/>
      <c r="S24" s="12"/>
    </row>
    <row r="25" spans="1:19" x14ac:dyDescent="0.25">
      <c r="A25" s="9" t="s">
        <v>34</v>
      </c>
      <c r="B25" s="9" t="s">
        <v>34</v>
      </c>
      <c r="C25" s="4">
        <v>201000029</v>
      </c>
      <c r="D25" s="4"/>
      <c r="E25" s="4" t="str">
        <f>"001562010"</f>
        <v>001562010</v>
      </c>
      <c r="F25" s="10">
        <v>40094</v>
      </c>
      <c r="G25" s="11">
        <v>11171.29</v>
      </c>
      <c r="H25" s="11">
        <v>11171.29</v>
      </c>
      <c r="I25" s="4" t="s">
        <v>366</v>
      </c>
      <c r="J25" s="4" t="s">
        <v>367</v>
      </c>
      <c r="K25" s="11">
        <v>0</v>
      </c>
      <c r="L25" s="4"/>
      <c r="M25" s="4"/>
      <c r="N25" s="11">
        <v>0</v>
      </c>
      <c r="O25" s="4"/>
      <c r="P25" s="4"/>
      <c r="Q25" s="11">
        <v>0</v>
      </c>
      <c r="R25" s="4"/>
      <c r="S25" s="12"/>
    </row>
    <row r="26" spans="1:19" x14ac:dyDescent="0.25">
      <c r="A26" s="9" t="s">
        <v>34</v>
      </c>
      <c r="B26" s="9" t="s">
        <v>34</v>
      </c>
      <c r="C26" s="4">
        <v>201000152</v>
      </c>
      <c r="D26" s="4"/>
      <c r="E26" s="4" t="str">
        <f>"002442010"</f>
        <v>002442010</v>
      </c>
      <c r="F26" s="10">
        <v>40095</v>
      </c>
      <c r="G26" s="11">
        <v>5355.89</v>
      </c>
      <c r="H26" s="11">
        <v>5355.89</v>
      </c>
      <c r="I26" s="4" t="s">
        <v>366</v>
      </c>
      <c r="J26" s="4" t="s">
        <v>367</v>
      </c>
      <c r="K26" s="11">
        <v>0</v>
      </c>
      <c r="L26" s="4"/>
      <c r="M26" s="4"/>
      <c r="N26" s="11">
        <v>0</v>
      </c>
      <c r="O26" s="4"/>
      <c r="P26" s="4"/>
      <c r="Q26" s="11">
        <v>0</v>
      </c>
      <c r="R26" s="4"/>
      <c r="S26" s="12"/>
    </row>
    <row r="27" spans="1:19" x14ac:dyDescent="0.25">
      <c r="A27" s="9" t="s">
        <v>34</v>
      </c>
      <c r="B27" s="9" t="s">
        <v>34</v>
      </c>
      <c r="C27" s="4">
        <v>201000438</v>
      </c>
      <c r="D27" s="4" t="s">
        <v>1726</v>
      </c>
      <c r="E27" s="4" t="str">
        <f>"009012010"</f>
        <v>009012010</v>
      </c>
      <c r="F27" s="10">
        <v>40122</v>
      </c>
      <c r="G27" s="11">
        <v>12500</v>
      </c>
      <c r="H27" s="11">
        <v>12500</v>
      </c>
      <c r="I27" s="4" t="s">
        <v>366</v>
      </c>
      <c r="J27" s="4" t="s">
        <v>367</v>
      </c>
      <c r="K27" s="11">
        <v>0</v>
      </c>
      <c r="L27" s="4"/>
      <c r="M27" s="4"/>
      <c r="N27" s="11">
        <v>0</v>
      </c>
      <c r="O27" s="4"/>
      <c r="P27" s="4"/>
      <c r="Q27" s="11">
        <v>0</v>
      </c>
      <c r="R27" s="4"/>
      <c r="S27" s="12"/>
    </row>
    <row r="28" spans="1:19" x14ac:dyDescent="0.25">
      <c r="A28" s="9" t="s">
        <v>34</v>
      </c>
      <c r="B28" s="9" t="s">
        <v>34</v>
      </c>
      <c r="C28" s="4">
        <v>201000756</v>
      </c>
      <c r="D28" s="4" t="s">
        <v>1727</v>
      </c>
      <c r="E28" s="4" t="str">
        <f>"014322010"</f>
        <v>014322010</v>
      </c>
      <c r="F28" s="10">
        <v>40141</v>
      </c>
      <c r="G28" s="11">
        <v>2765</v>
      </c>
      <c r="H28" s="11">
        <v>2765</v>
      </c>
      <c r="I28" s="4" t="s">
        <v>366</v>
      </c>
      <c r="J28" s="4" t="s">
        <v>367</v>
      </c>
      <c r="K28" s="11">
        <v>0</v>
      </c>
      <c r="L28" s="4"/>
      <c r="M28" s="4"/>
      <c r="N28" s="11">
        <v>0</v>
      </c>
      <c r="O28" s="4"/>
      <c r="P28" s="4"/>
      <c r="Q28" s="11">
        <v>0</v>
      </c>
      <c r="R28" s="4"/>
      <c r="S28" s="12"/>
    </row>
    <row r="29" spans="1:19" x14ac:dyDescent="0.25">
      <c r="A29" s="9" t="s">
        <v>34</v>
      </c>
      <c r="B29" s="9" t="s">
        <v>34</v>
      </c>
      <c r="C29" s="4">
        <v>201000828</v>
      </c>
      <c r="D29" s="4" t="s">
        <v>1728</v>
      </c>
      <c r="E29" s="4" t="str">
        <f>"016202010"</f>
        <v>016202010</v>
      </c>
      <c r="F29" s="10">
        <v>40148</v>
      </c>
      <c r="G29" s="11">
        <v>32706.86</v>
      </c>
      <c r="H29" s="11">
        <v>32706.86</v>
      </c>
      <c r="I29" s="4" t="s">
        <v>366</v>
      </c>
      <c r="J29" s="4" t="s">
        <v>367</v>
      </c>
      <c r="K29" s="11">
        <v>0</v>
      </c>
      <c r="L29" s="4"/>
      <c r="M29" s="4"/>
      <c r="N29" s="11">
        <v>0</v>
      </c>
      <c r="O29" s="4"/>
      <c r="P29" s="4"/>
      <c r="Q29" s="11">
        <v>0</v>
      </c>
      <c r="R29" s="4"/>
      <c r="S29" s="12"/>
    </row>
    <row r="30" spans="1:19" x14ac:dyDescent="0.25">
      <c r="A30" s="9" t="s">
        <v>34</v>
      </c>
      <c r="B30" s="9" t="s">
        <v>34</v>
      </c>
      <c r="C30" s="4">
        <v>201000994</v>
      </c>
      <c r="D30" s="4"/>
      <c r="E30" s="4" t="str">
        <f>"019232010"</f>
        <v>019232010</v>
      </c>
      <c r="F30" s="10">
        <v>40156</v>
      </c>
      <c r="G30" s="11">
        <v>3216.32</v>
      </c>
      <c r="H30" s="11">
        <v>3216.32</v>
      </c>
      <c r="I30" s="4" t="s">
        <v>366</v>
      </c>
      <c r="J30" s="4" t="s">
        <v>367</v>
      </c>
      <c r="K30" s="11">
        <v>0</v>
      </c>
      <c r="L30" s="4"/>
      <c r="M30" s="4"/>
      <c r="N30" s="11">
        <v>0</v>
      </c>
      <c r="O30" s="4"/>
      <c r="P30" s="4"/>
      <c r="Q30" s="11">
        <v>0</v>
      </c>
      <c r="R30" s="4"/>
      <c r="S30" s="12"/>
    </row>
    <row r="31" spans="1:19" x14ac:dyDescent="0.25">
      <c r="A31" s="9" t="s">
        <v>34</v>
      </c>
      <c r="B31" s="9" t="s">
        <v>34</v>
      </c>
      <c r="C31" s="4">
        <v>201000996</v>
      </c>
      <c r="D31" s="4" t="s">
        <v>1729</v>
      </c>
      <c r="E31" s="4" t="str">
        <f>"029062010"</f>
        <v>029062010</v>
      </c>
      <c r="F31" s="10">
        <v>40191</v>
      </c>
      <c r="G31" s="11">
        <v>11350</v>
      </c>
      <c r="H31" s="11">
        <v>11350</v>
      </c>
      <c r="I31" s="4" t="s">
        <v>366</v>
      </c>
      <c r="J31" s="4" t="s">
        <v>367</v>
      </c>
      <c r="K31" s="11">
        <v>0</v>
      </c>
      <c r="L31" s="4"/>
      <c r="M31" s="4"/>
      <c r="N31" s="11">
        <v>0</v>
      </c>
      <c r="O31" s="4"/>
      <c r="P31" s="4"/>
      <c r="Q31" s="11">
        <v>0</v>
      </c>
      <c r="R31" s="4"/>
      <c r="S31" s="12"/>
    </row>
    <row r="32" spans="1:19" x14ac:dyDescent="0.25">
      <c r="A32" s="9" t="s">
        <v>34</v>
      </c>
      <c r="B32" s="9" t="s">
        <v>34</v>
      </c>
      <c r="C32" s="4">
        <v>201000997</v>
      </c>
      <c r="D32" s="4"/>
      <c r="E32" s="4" t="str">
        <f>"019052010"</f>
        <v>019052010</v>
      </c>
      <c r="F32" s="10">
        <v>40155</v>
      </c>
      <c r="G32" s="11">
        <v>15572.91</v>
      </c>
      <c r="H32" s="11">
        <v>15572.91</v>
      </c>
      <c r="I32" s="4" t="s">
        <v>366</v>
      </c>
      <c r="J32" s="4" t="s">
        <v>367</v>
      </c>
      <c r="K32" s="11">
        <v>0</v>
      </c>
      <c r="L32" s="4"/>
      <c r="M32" s="4"/>
      <c r="N32" s="11">
        <v>0</v>
      </c>
      <c r="O32" s="4"/>
      <c r="P32" s="4"/>
      <c r="Q32" s="11">
        <v>0</v>
      </c>
      <c r="R32" s="4"/>
      <c r="S32" s="12"/>
    </row>
    <row r="33" spans="1:19" x14ac:dyDescent="0.25">
      <c r="A33" s="9" t="s">
        <v>34</v>
      </c>
      <c r="B33" s="9" t="s">
        <v>34</v>
      </c>
      <c r="C33" s="4">
        <v>201001001</v>
      </c>
      <c r="D33" s="4" t="s">
        <v>1730</v>
      </c>
      <c r="E33" s="4" t="str">
        <f>"018992010"</f>
        <v>018992010</v>
      </c>
      <c r="F33" s="10">
        <v>40155</v>
      </c>
      <c r="G33" s="11">
        <v>160000</v>
      </c>
      <c r="H33" s="11">
        <v>160000</v>
      </c>
      <c r="I33" s="4" t="s">
        <v>366</v>
      </c>
      <c r="J33" s="4" t="s">
        <v>367</v>
      </c>
      <c r="K33" s="11">
        <v>0</v>
      </c>
      <c r="L33" s="4"/>
      <c r="M33" s="4"/>
      <c r="N33" s="11">
        <v>0</v>
      </c>
      <c r="O33" s="4"/>
      <c r="P33" s="4"/>
      <c r="Q33" s="11">
        <v>0</v>
      </c>
      <c r="R33" s="4"/>
      <c r="S33" s="12"/>
    </row>
    <row r="34" spans="1:19" x14ac:dyDescent="0.25">
      <c r="A34" s="9" t="s">
        <v>34</v>
      </c>
      <c r="B34" s="9" t="s">
        <v>34</v>
      </c>
      <c r="C34" s="4">
        <v>201001093</v>
      </c>
      <c r="D34" s="4"/>
      <c r="E34" s="4" t="str">
        <f>"021272010"</f>
        <v>021272010</v>
      </c>
      <c r="F34" s="10">
        <v>40158</v>
      </c>
      <c r="G34" s="11">
        <v>4884</v>
      </c>
      <c r="H34" s="11">
        <v>4884</v>
      </c>
      <c r="I34" s="4" t="s">
        <v>366</v>
      </c>
      <c r="J34" s="4" t="s">
        <v>367</v>
      </c>
      <c r="K34" s="11">
        <v>0</v>
      </c>
      <c r="L34" s="4"/>
      <c r="M34" s="4"/>
      <c r="N34" s="11">
        <v>0</v>
      </c>
      <c r="O34" s="4"/>
      <c r="P34" s="4"/>
      <c r="Q34" s="11">
        <v>0</v>
      </c>
      <c r="R34" s="4"/>
      <c r="S34" s="12"/>
    </row>
    <row r="35" spans="1:19" x14ac:dyDescent="0.25">
      <c r="A35" s="9" t="s">
        <v>34</v>
      </c>
      <c r="B35" s="9" t="s">
        <v>34</v>
      </c>
      <c r="C35" s="4">
        <v>201001799</v>
      </c>
      <c r="D35" s="4"/>
      <c r="E35" s="4" t="str">
        <f>"034902010"</f>
        <v>034902010</v>
      </c>
      <c r="F35" s="10">
        <v>40213</v>
      </c>
      <c r="G35" s="11">
        <v>3417.52</v>
      </c>
      <c r="H35" s="11">
        <v>3417.52</v>
      </c>
      <c r="I35" s="4" t="s">
        <v>366</v>
      </c>
      <c r="J35" s="4" t="s">
        <v>367</v>
      </c>
      <c r="K35" s="11">
        <v>0</v>
      </c>
      <c r="L35" s="4"/>
      <c r="M35" s="4"/>
      <c r="N35" s="11">
        <v>0</v>
      </c>
      <c r="O35" s="4"/>
      <c r="P35" s="4"/>
      <c r="Q35" s="11">
        <v>0</v>
      </c>
      <c r="R35" s="4"/>
      <c r="S35" s="12"/>
    </row>
    <row r="36" spans="1:19" x14ac:dyDescent="0.25">
      <c r="A36" s="9" t="s">
        <v>34</v>
      </c>
      <c r="B36" s="9" t="s">
        <v>34</v>
      </c>
      <c r="C36" s="4">
        <v>201001808</v>
      </c>
      <c r="D36" s="4"/>
      <c r="E36" s="4" t="str">
        <f>"037122010"</f>
        <v>037122010</v>
      </c>
      <c r="F36" s="10">
        <v>40214</v>
      </c>
      <c r="G36" s="11">
        <v>2699.33</v>
      </c>
      <c r="H36" s="11">
        <v>2699.33</v>
      </c>
      <c r="I36" s="4" t="s">
        <v>366</v>
      </c>
      <c r="J36" s="4" t="s">
        <v>367</v>
      </c>
      <c r="K36" s="11">
        <v>0</v>
      </c>
      <c r="L36" s="4"/>
      <c r="M36" s="4"/>
      <c r="N36" s="11">
        <v>0</v>
      </c>
      <c r="O36" s="4"/>
      <c r="P36" s="4"/>
      <c r="Q36" s="11">
        <v>0</v>
      </c>
      <c r="R36" s="4"/>
      <c r="S36" s="12"/>
    </row>
    <row r="37" spans="1:19" x14ac:dyDescent="0.25">
      <c r="A37" s="9" t="s">
        <v>34</v>
      </c>
      <c r="B37" s="9" t="s">
        <v>34</v>
      </c>
      <c r="C37" s="4">
        <v>201001861</v>
      </c>
      <c r="D37" s="4"/>
      <c r="E37" s="4" t="str">
        <f>"036262010"</f>
        <v>036262010</v>
      </c>
      <c r="F37" s="10">
        <v>40213</v>
      </c>
      <c r="G37" s="11">
        <v>20000</v>
      </c>
      <c r="H37" s="11">
        <v>20000</v>
      </c>
      <c r="I37" s="4" t="s">
        <v>366</v>
      </c>
      <c r="J37" s="4" t="s">
        <v>367</v>
      </c>
      <c r="K37" s="11">
        <v>0</v>
      </c>
      <c r="L37" s="4"/>
      <c r="M37" s="4"/>
      <c r="N37" s="11">
        <v>0</v>
      </c>
      <c r="O37" s="4"/>
      <c r="P37" s="4"/>
      <c r="Q37" s="11">
        <v>0</v>
      </c>
      <c r="R37" s="4"/>
      <c r="S37" s="12"/>
    </row>
    <row r="38" spans="1:19" x14ac:dyDescent="0.25">
      <c r="A38" s="9" t="s">
        <v>34</v>
      </c>
      <c r="B38" s="9" t="s">
        <v>34</v>
      </c>
      <c r="C38" s="4">
        <v>201001866</v>
      </c>
      <c r="D38" s="4"/>
      <c r="E38" s="4" t="str">
        <f>"035782010"</f>
        <v>035782010</v>
      </c>
      <c r="F38" s="10">
        <v>40213</v>
      </c>
      <c r="G38" s="11">
        <v>4227.97</v>
      </c>
      <c r="H38" s="11">
        <v>4227.97</v>
      </c>
      <c r="I38" s="4" t="s">
        <v>366</v>
      </c>
      <c r="J38" s="4" t="s">
        <v>367</v>
      </c>
      <c r="K38" s="11">
        <v>0</v>
      </c>
      <c r="L38" s="4"/>
      <c r="M38" s="4"/>
      <c r="N38" s="11">
        <v>0</v>
      </c>
      <c r="O38" s="4"/>
      <c r="P38" s="4"/>
      <c r="Q38" s="11">
        <v>0</v>
      </c>
      <c r="R38" s="4"/>
      <c r="S38" s="12"/>
    </row>
    <row r="39" spans="1:19" x14ac:dyDescent="0.25">
      <c r="A39" s="9" t="s">
        <v>34</v>
      </c>
      <c r="B39" s="9" t="s">
        <v>34</v>
      </c>
      <c r="C39" s="4">
        <v>201002034</v>
      </c>
      <c r="D39" s="4"/>
      <c r="E39" s="4" t="str">
        <f>"042312010"</f>
        <v>042312010</v>
      </c>
      <c r="F39" s="10">
        <v>40246</v>
      </c>
      <c r="G39" s="11">
        <v>3100.87</v>
      </c>
      <c r="H39" s="11">
        <v>3100.87</v>
      </c>
      <c r="I39" s="4" t="s">
        <v>366</v>
      </c>
      <c r="J39" s="4" t="s">
        <v>367</v>
      </c>
      <c r="K39" s="11">
        <v>0</v>
      </c>
      <c r="L39" s="4"/>
      <c r="M39" s="4"/>
      <c r="N39" s="11">
        <v>0</v>
      </c>
      <c r="O39" s="4"/>
      <c r="P39" s="4"/>
      <c r="Q39" s="11">
        <v>0</v>
      </c>
      <c r="R39" s="4"/>
      <c r="S39" s="12"/>
    </row>
    <row r="40" spans="1:19" x14ac:dyDescent="0.25">
      <c r="A40" s="9" t="s">
        <v>34</v>
      </c>
      <c r="B40" s="9" t="s">
        <v>34</v>
      </c>
      <c r="C40" s="4">
        <v>201002399</v>
      </c>
      <c r="D40" s="4" t="s">
        <v>1731</v>
      </c>
      <c r="E40" s="4" t="str">
        <f>"047462010"</f>
        <v>047462010</v>
      </c>
      <c r="F40" s="10">
        <v>40253</v>
      </c>
      <c r="G40" s="11">
        <v>5000</v>
      </c>
      <c r="H40" s="11">
        <v>5000</v>
      </c>
      <c r="I40" s="4" t="s">
        <v>366</v>
      </c>
      <c r="J40" s="4" t="s">
        <v>367</v>
      </c>
      <c r="K40" s="11">
        <v>0</v>
      </c>
      <c r="L40" s="4"/>
      <c r="M40" s="4"/>
      <c r="N40" s="11">
        <v>0</v>
      </c>
      <c r="O40" s="4"/>
      <c r="P40" s="4"/>
      <c r="Q40" s="11">
        <v>0</v>
      </c>
      <c r="R40" s="4"/>
      <c r="S40" s="12"/>
    </row>
    <row r="41" spans="1:19" x14ac:dyDescent="0.25">
      <c r="A41" s="9" t="s">
        <v>34</v>
      </c>
      <c r="B41" s="9" t="s">
        <v>34</v>
      </c>
      <c r="C41" s="4">
        <v>201002651</v>
      </c>
      <c r="D41" s="4" t="s">
        <v>1732</v>
      </c>
      <c r="E41" s="4" t="str">
        <f>"052182010"</f>
        <v>052182010</v>
      </c>
      <c r="F41" s="10">
        <v>40266</v>
      </c>
      <c r="G41" s="11">
        <v>9300</v>
      </c>
      <c r="H41" s="11">
        <v>9300</v>
      </c>
      <c r="I41" s="4" t="s">
        <v>366</v>
      </c>
      <c r="J41" s="4" t="s">
        <v>367</v>
      </c>
      <c r="K41" s="11">
        <v>0</v>
      </c>
      <c r="L41" s="4"/>
      <c r="M41" s="4"/>
      <c r="N41" s="11">
        <v>0</v>
      </c>
      <c r="O41" s="4"/>
      <c r="P41" s="4"/>
      <c r="Q41" s="11">
        <v>0</v>
      </c>
      <c r="R41" s="4"/>
      <c r="S41" s="12"/>
    </row>
    <row r="42" spans="1:19" x14ac:dyDescent="0.25">
      <c r="A42" s="9" t="s">
        <v>34</v>
      </c>
      <c r="B42" s="9" t="s">
        <v>34</v>
      </c>
      <c r="C42" s="4">
        <v>201002730</v>
      </c>
      <c r="D42" s="4"/>
      <c r="E42" s="4" t="str">
        <f>"053802010"</f>
        <v>053802010</v>
      </c>
      <c r="F42" s="10">
        <v>40270</v>
      </c>
      <c r="G42" s="11">
        <v>2654.77</v>
      </c>
      <c r="H42" s="11">
        <v>2654.77</v>
      </c>
      <c r="I42" s="4" t="s">
        <v>366</v>
      </c>
      <c r="J42" s="4" t="s">
        <v>367</v>
      </c>
      <c r="K42" s="11">
        <v>0</v>
      </c>
      <c r="L42" s="4"/>
      <c r="M42" s="4"/>
      <c r="N42" s="11">
        <v>0</v>
      </c>
      <c r="O42" s="4"/>
      <c r="P42" s="4"/>
      <c r="Q42" s="11">
        <v>0</v>
      </c>
      <c r="R42" s="4"/>
      <c r="S42" s="12"/>
    </row>
    <row r="43" spans="1:19" x14ac:dyDescent="0.25">
      <c r="A43" s="9" t="s">
        <v>34</v>
      </c>
      <c r="B43" s="9" t="s">
        <v>34</v>
      </c>
      <c r="C43" s="4">
        <v>201003436</v>
      </c>
      <c r="D43" s="4"/>
      <c r="E43" s="4" t="str">
        <f>"068382010"</f>
        <v>068382010</v>
      </c>
      <c r="F43" s="10">
        <v>40311</v>
      </c>
      <c r="G43" s="11">
        <v>7568.91</v>
      </c>
      <c r="H43" s="11">
        <v>7568.91</v>
      </c>
      <c r="I43" s="4" t="s">
        <v>366</v>
      </c>
      <c r="J43" s="4" t="s">
        <v>367</v>
      </c>
      <c r="K43" s="11">
        <v>0</v>
      </c>
      <c r="L43" s="4"/>
      <c r="M43" s="4"/>
      <c r="N43" s="11">
        <v>0</v>
      </c>
      <c r="O43" s="4"/>
      <c r="P43" s="4"/>
      <c r="Q43" s="11">
        <v>0</v>
      </c>
      <c r="R43" s="4"/>
      <c r="S43" s="12"/>
    </row>
    <row r="44" spans="1:19" x14ac:dyDescent="0.25">
      <c r="A44" s="9" t="s">
        <v>34</v>
      </c>
      <c r="B44" s="9" t="s">
        <v>34</v>
      </c>
      <c r="C44" s="4">
        <v>201004137</v>
      </c>
      <c r="D44" s="4"/>
      <c r="E44" s="4" t="str">
        <f>"082132010"</f>
        <v>082132010</v>
      </c>
      <c r="F44" s="10">
        <v>40354</v>
      </c>
      <c r="G44" s="11">
        <v>2528.58</v>
      </c>
      <c r="H44" s="11">
        <v>2528.58</v>
      </c>
      <c r="I44" s="4" t="s">
        <v>366</v>
      </c>
      <c r="J44" s="4" t="s">
        <v>367</v>
      </c>
      <c r="K44" s="11">
        <v>0</v>
      </c>
      <c r="L44" s="4"/>
      <c r="M44" s="4"/>
      <c r="N44" s="11">
        <v>0</v>
      </c>
      <c r="O44" s="4"/>
      <c r="P44" s="4"/>
      <c r="Q44" s="11">
        <v>0</v>
      </c>
      <c r="R44" s="4"/>
      <c r="S44" s="12"/>
    </row>
    <row r="45" spans="1:19" x14ac:dyDescent="0.25">
      <c r="A45" s="9" t="s">
        <v>34</v>
      </c>
      <c r="B45" s="9" t="s">
        <v>34</v>
      </c>
      <c r="C45" s="4">
        <v>201004265</v>
      </c>
      <c r="D45" s="4"/>
      <c r="E45" s="4" t="str">
        <f>"084242010"</f>
        <v>084242010</v>
      </c>
      <c r="F45" s="10">
        <v>40354</v>
      </c>
      <c r="G45" s="11">
        <v>5120.08</v>
      </c>
      <c r="H45" s="11">
        <v>5120.08</v>
      </c>
      <c r="I45" s="4" t="s">
        <v>366</v>
      </c>
      <c r="J45" s="4" t="s">
        <v>367</v>
      </c>
      <c r="K45" s="11">
        <v>0</v>
      </c>
      <c r="L45" s="4"/>
      <c r="M45" s="4"/>
      <c r="N45" s="11">
        <v>0</v>
      </c>
      <c r="O45" s="4"/>
      <c r="P45" s="4"/>
      <c r="Q45" s="11">
        <v>0</v>
      </c>
      <c r="R45" s="4"/>
      <c r="S45" s="12"/>
    </row>
    <row r="46" spans="1:19" x14ac:dyDescent="0.25">
      <c r="A46" s="9" t="s">
        <v>34</v>
      </c>
      <c r="B46" s="9" t="s">
        <v>34</v>
      </c>
      <c r="C46" s="4">
        <v>201004282</v>
      </c>
      <c r="D46" s="4"/>
      <c r="E46" s="4" t="str">
        <f>"085702010"</f>
        <v>085702010</v>
      </c>
      <c r="F46" s="10">
        <v>40357</v>
      </c>
      <c r="G46" s="11">
        <v>2746.24</v>
      </c>
      <c r="H46" s="11">
        <v>2746.24</v>
      </c>
      <c r="I46" s="4" t="s">
        <v>366</v>
      </c>
      <c r="J46" s="4" t="s">
        <v>367</v>
      </c>
      <c r="K46" s="11">
        <v>0</v>
      </c>
      <c r="L46" s="4"/>
      <c r="M46" s="4"/>
      <c r="N46" s="11">
        <v>0</v>
      </c>
      <c r="O46" s="4"/>
      <c r="P46" s="4"/>
      <c r="Q46" s="11">
        <v>0</v>
      </c>
      <c r="R46" s="4"/>
      <c r="S46" s="12"/>
    </row>
    <row r="47" spans="1:19" x14ac:dyDescent="0.25">
      <c r="A47" s="9" t="s">
        <v>34</v>
      </c>
      <c r="B47" s="9" t="s">
        <v>291</v>
      </c>
      <c r="C47" s="4">
        <v>201004660</v>
      </c>
      <c r="D47" s="4"/>
      <c r="E47" s="4" t="str">
        <f>"092602010"</f>
        <v>092602010</v>
      </c>
      <c r="F47" s="10">
        <v>40373</v>
      </c>
      <c r="G47" s="11">
        <v>3100</v>
      </c>
      <c r="H47" s="11">
        <v>3100</v>
      </c>
      <c r="I47" s="4" t="s">
        <v>366</v>
      </c>
      <c r="J47" s="4" t="s">
        <v>367</v>
      </c>
      <c r="K47" s="11">
        <v>0</v>
      </c>
      <c r="L47" s="4"/>
      <c r="M47" s="4"/>
      <c r="N47" s="11">
        <v>0</v>
      </c>
      <c r="O47" s="4"/>
      <c r="P47" s="4"/>
      <c r="Q47" s="11">
        <v>0</v>
      </c>
      <c r="R47" s="4"/>
      <c r="S47" s="12"/>
    </row>
    <row r="48" spans="1:19" x14ac:dyDescent="0.25">
      <c r="A48" s="9" t="s">
        <v>34</v>
      </c>
      <c r="B48" s="9" t="s">
        <v>291</v>
      </c>
      <c r="C48" s="4">
        <v>201004914</v>
      </c>
      <c r="D48" s="4" t="s">
        <v>1733</v>
      </c>
      <c r="E48" s="4" t="str">
        <f>"105332010"</f>
        <v>105332010</v>
      </c>
      <c r="F48" s="10">
        <v>40415</v>
      </c>
      <c r="G48" s="11">
        <v>75000</v>
      </c>
      <c r="H48" s="11">
        <v>75000</v>
      </c>
      <c r="I48" s="4" t="s">
        <v>366</v>
      </c>
      <c r="J48" s="4" t="s">
        <v>367</v>
      </c>
      <c r="K48" s="11">
        <v>0</v>
      </c>
      <c r="L48" s="4"/>
      <c r="M48" s="4"/>
      <c r="N48" s="11">
        <v>0</v>
      </c>
      <c r="O48" s="4"/>
      <c r="P48" s="4"/>
      <c r="Q48" s="11">
        <v>0</v>
      </c>
      <c r="R48" s="4"/>
      <c r="S48" s="12"/>
    </row>
    <row r="49" spans="1:19" x14ac:dyDescent="0.25">
      <c r="A49" s="9" t="s">
        <v>34</v>
      </c>
      <c r="B49" s="9" t="s">
        <v>34</v>
      </c>
      <c r="C49" s="4">
        <v>201005039</v>
      </c>
      <c r="D49" s="4"/>
      <c r="E49" s="4" t="str">
        <f>"101552010"</f>
        <v>101552010</v>
      </c>
      <c r="F49" s="10">
        <v>40407</v>
      </c>
      <c r="G49" s="11">
        <v>10096.040000000001</v>
      </c>
      <c r="H49" s="11">
        <v>10096.040000000001</v>
      </c>
      <c r="I49" s="4" t="s">
        <v>366</v>
      </c>
      <c r="J49" s="4" t="s">
        <v>367</v>
      </c>
      <c r="K49" s="11">
        <v>0</v>
      </c>
      <c r="L49" s="4"/>
      <c r="M49" s="4"/>
      <c r="N49" s="11">
        <v>0</v>
      </c>
      <c r="O49" s="4"/>
      <c r="P49" s="4"/>
      <c r="Q49" s="11">
        <v>0</v>
      </c>
      <c r="R49" s="4"/>
      <c r="S49" s="12"/>
    </row>
    <row r="50" spans="1:19" x14ac:dyDescent="0.25">
      <c r="A50" s="9" t="s">
        <v>34</v>
      </c>
      <c r="B50" s="9" t="s">
        <v>34</v>
      </c>
      <c r="C50" s="4">
        <v>201005220</v>
      </c>
      <c r="D50" s="4"/>
      <c r="E50" s="4" t="str">
        <f>"104712010"</f>
        <v>104712010</v>
      </c>
      <c r="F50" s="10">
        <v>40413</v>
      </c>
      <c r="G50" s="11">
        <v>3275.92</v>
      </c>
      <c r="H50" s="11">
        <v>3275.92</v>
      </c>
      <c r="I50" s="4" t="s">
        <v>366</v>
      </c>
      <c r="J50" s="4" t="s">
        <v>367</v>
      </c>
      <c r="K50" s="11">
        <v>0</v>
      </c>
      <c r="L50" s="4"/>
      <c r="M50" s="4"/>
      <c r="N50" s="11">
        <v>0</v>
      </c>
      <c r="O50" s="4"/>
      <c r="P50" s="4"/>
      <c r="Q50" s="11">
        <v>0</v>
      </c>
      <c r="R50" s="4"/>
      <c r="S50" s="12"/>
    </row>
    <row r="51" spans="1:19" x14ac:dyDescent="0.25">
      <c r="A51" s="9" t="s">
        <v>34</v>
      </c>
      <c r="B51" s="9" t="s">
        <v>34</v>
      </c>
      <c r="C51" s="4">
        <v>201005505</v>
      </c>
      <c r="D51" s="4"/>
      <c r="E51" s="4" t="str">
        <f>"109592010"</f>
        <v>109592010</v>
      </c>
      <c r="F51" s="10">
        <v>40430</v>
      </c>
      <c r="G51" s="11">
        <v>5275.44</v>
      </c>
      <c r="H51" s="11">
        <v>5275.44</v>
      </c>
      <c r="I51" s="4" t="s">
        <v>366</v>
      </c>
      <c r="J51" s="4" t="s">
        <v>367</v>
      </c>
      <c r="K51" s="11">
        <v>0</v>
      </c>
      <c r="L51" s="4"/>
      <c r="M51" s="4"/>
      <c r="N51" s="11">
        <v>0</v>
      </c>
      <c r="O51" s="4"/>
      <c r="P51" s="4"/>
      <c r="Q51" s="11">
        <v>0</v>
      </c>
      <c r="R51" s="4"/>
      <c r="S51" s="12"/>
    </row>
    <row r="52" spans="1:19" x14ac:dyDescent="0.25">
      <c r="A52" s="9" t="s">
        <v>42</v>
      </c>
      <c r="B52" s="9" t="s">
        <v>195</v>
      </c>
      <c r="C52" s="4">
        <v>201000944</v>
      </c>
      <c r="D52" s="4"/>
      <c r="E52" s="4" t="str">
        <f>"018202010"</f>
        <v>018202010</v>
      </c>
      <c r="F52" s="10">
        <v>40151</v>
      </c>
      <c r="G52" s="11">
        <v>3225</v>
      </c>
      <c r="H52" s="11">
        <v>3225</v>
      </c>
      <c r="I52" s="4" t="s">
        <v>366</v>
      </c>
      <c r="J52" s="4" t="s">
        <v>367</v>
      </c>
      <c r="K52" s="11">
        <v>0</v>
      </c>
      <c r="L52" s="4"/>
      <c r="M52" s="4"/>
      <c r="N52" s="11">
        <v>0</v>
      </c>
      <c r="O52" s="4"/>
      <c r="P52" s="4"/>
      <c r="Q52" s="11">
        <v>0</v>
      </c>
      <c r="R52" s="4"/>
      <c r="S52" s="12"/>
    </row>
    <row r="53" spans="1:19" x14ac:dyDescent="0.25">
      <c r="A53" s="9" t="s">
        <v>42</v>
      </c>
      <c r="B53" s="9" t="s">
        <v>195</v>
      </c>
      <c r="C53" s="4">
        <v>201001041</v>
      </c>
      <c r="D53" s="4"/>
      <c r="E53" s="4" t="str">
        <f>"024552010"</f>
        <v>024552010</v>
      </c>
      <c r="F53" s="10">
        <v>40177</v>
      </c>
      <c r="G53" s="11">
        <v>2998.7</v>
      </c>
      <c r="H53" s="11">
        <v>2998.7</v>
      </c>
      <c r="I53" s="4" t="s">
        <v>366</v>
      </c>
      <c r="J53" s="4" t="s">
        <v>367</v>
      </c>
      <c r="K53" s="11">
        <v>0</v>
      </c>
      <c r="L53" s="4"/>
      <c r="M53" s="4"/>
      <c r="N53" s="11">
        <v>0</v>
      </c>
      <c r="O53" s="4"/>
      <c r="P53" s="4"/>
      <c r="Q53" s="11">
        <v>0</v>
      </c>
      <c r="R53" s="4"/>
      <c r="S53" s="12"/>
    </row>
    <row r="54" spans="1:19" x14ac:dyDescent="0.25">
      <c r="A54" s="9" t="s">
        <v>42</v>
      </c>
      <c r="B54" s="9" t="s">
        <v>195</v>
      </c>
      <c r="C54" s="4">
        <v>201001444</v>
      </c>
      <c r="D54" s="4" t="s">
        <v>2534</v>
      </c>
      <c r="E54" s="4" t="str">
        <f>"028042010"</f>
        <v>028042010</v>
      </c>
      <c r="F54" s="10">
        <v>40186</v>
      </c>
      <c r="G54" s="11">
        <v>14440</v>
      </c>
      <c r="H54" s="11">
        <v>12033.38</v>
      </c>
      <c r="I54" s="4" t="s">
        <v>366</v>
      </c>
      <c r="J54" s="4" t="s">
        <v>367</v>
      </c>
      <c r="K54" s="11">
        <v>2406.62</v>
      </c>
      <c r="L54" s="4" t="s">
        <v>366</v>
      </c>
      <c r="M54" s="4" t="s">
        <v>367</v>
      </c>
      <c r="N54" s="11">
        <v>0</v>
      </c>
      <c r="O54" s="4"/>
      <c r="P54" s="4"/>
      <c r="Q54" s="11">
        <v>0</v>
      </c>
      <c r="R54" s="4"/>
      <c r="S54" s="12"/>
    </row>
    <row r="55" spans="1:19" x14ac:dyDescent="0.25">
      <c r="A55" s="9" t="s">
        <v>42</v>
      </c>
      <c r="B55" s="9" t="s">
        <v>42</v>
      </c>
      <c r="C55" s="4">
        <v>201001487</v>
      </c>
      <c r="D55" s="4"/>
      <c r="E55" s="4" t="str">
        <f>"028862010"</f>
        <v>028862010</v>
      </c>
      <c r="F55" s="10">
        <v>40186</v>
      </c>
      <c r="G55" s="11">
        <v>3230.93</v>
      </c>
      <c r="H55" s="11">
        <v>3230.93</v>
      </c>
      <c r="I55" s="4" t="s">
        <v>366</v>
      </c>
      <c r="J55" s="4" t="s">
        <v>367</v>
      </c>
      <c r="K55" s="11">
        <v>0</v>
      </c>
      <c r="L55" s="4"/>
      <c r="M55" s="4"/>
      <c r="N55" s="11">
        <v>0</v>
      </c>
      <c r="O55" s="4"/>
      <c r="P55" s="4"/>
      <c r="Q55" s="11">
        <v>0</v>
      </c>
      <c r="R55" s="4"/>
      <c r="S55" s="12"/>
    </row>
    <row r="56" spans="1:19" x14ac:dyDescent="0.25">
      <c r="A56" s="9" t="s">
        <v>42</v>
      </c>
      <c r="B56" s="9" t="s">
        <v>195</v>
      </c>
      <c r="C56" s="4">
        <v>201001710</v>
      </c>
      <c r="D56" s="4"/>
      <c r="E56" s="4" t="str">
        <f>"033962010"</f>
        <v>033962010</v>
      </c>
      <c r="F56" s="10">
        <v>40213</v>
      </c>
      <c r="G56" s="11">
        <v>10000</v>
      </c>
      <c r="H56" s="11">
        <v>10000</v>
      </c>
      <c r="I56" s="4" t="s">
        <v>366</v>
      </c>
      <c r="J56" s="4" t="s">
        <v>367</v>
      </c>
      <c r="K56" s="11">
        <v>0</v>
      </c>
      <c r="L56" s="4"/>
      <c r="M56" s="4"/>
      <c r="N56" s="11">
        <v>0</v>
      </c>
      <c r="O56" s="4"/>
      <c r="P56" s="4"/>
      <c r="Q56" s="11">
        <v>0</v>
      </c>
      <c r="R56" s="4"/>
      <c r="S56" s="12"/>
    </row>
    <row r="57" spans="1:19" x14ac:dyDescent="0.25">
      <c r="A57" s="9" t="s">
        <v>42</v>
      </c>
      <c r="B57" s="9" t="s">
        <v>195</v>
      </c>
      <c r="C57" s="4">
        <v>201001713</v>
      </c>
      <c r="D57" s="4" t="s">
        <v>1734</v>
      </c>
      <c r="E57" s="4" t="str">
        <f>"036942010"</f>
        <v>036942010</v>
      </c>
      <c r="F57" s="10">
        <v>40214</v>
      </c>
      <c r="G57" s="11">
        <v>14900</v>
      </c>
      <c r="H57" s="11">
        <v>14900</v>
      </c>
      <c r="I57" s="4" t="s">
        <v>366</v>
      </c>
      <c r="J57" s="4" t="s">
        <v>367</v>
      </c>
      <c r="K57" s="11">
        <v>0</v>
      </c>
      <c r="L57" s="4"/>
      <c r="M57" s="4"/>
      <c r="N57" s="11">
        <v>0</v>
      </c>
      <c r="O57" s="4"/>
      <c r="P57" s="4"/>
      <c r="Q57" s="11">
        <v>0</v>
      </c>
      <c r="R57" s="4"/>
      <c r="S57" s="12"/>
    </row>
    <row r="58" spans="1:19" x14ac:dyDescent="0.25">
      <c r="A58" s="9" t="s">
        <v>42</v>
      </c>
      <c r="B58" s="9" t="s">
        <v>42</v>
      </c>
      <c r="C58" s="4">
        <v>201001879</v>
      </c>
      <c r="D58" s="4" t="s">
        <v>1735</v>
      </c>
      <c r="E58" s="4" t="str">
        <f>"036202010"</f>
        <v>036202010</v>
      </c>
      <c r="F58" s="10">
        <v>40213</v>
      </c>
      <c r="G58" s="11">
        <v>5000</v>
      </c>
      <c r="H58" s="11">
        <v>5000</v>
      </c>
      <c r="I58" s="4" t="s">
        <v>366</v>
      </c>
      <c r="J58" s="4" t="s">
        <v>367</v>
      </c>
      <c r="K58" s="11">
        <v>0</v>
      </c>
      <c r="L58" s="4"/>
      <c r="M58" s="4"/>
      <c r="N58" s="11">
        <v>0</v>
      </c>
      <c r="O58" s="4"/>
      <c r="P58" s="4"/>
      <c r="Q58" s="11">
        <v>0</v>
      </c>
      <c r="R58" s="4"/>
      <c r="S58" s="12"/>
    </row>
    <row r="59" spans="1:19" x14ac:dyDescent="0.25">
      <c r="A59" s="9" t="s">
        <v>42</v>
      </c>
      <c r="B59" s="9" t="s">
        <v>195</v>
      </c>
      <c r="C59" s="4">
        <v>201002294</v>
      </c>
      <c r="D59" s="4" t="s">
        <v>1736</v>
      </c>
      <c r="E59" s="4" t="str">
        <f>"045022010"</f>
        <v>045022010</v>
      </c>
      <c r="F59" s="10">
        <v>40246</v>
      </c>
      <c r="G59" s="11">
        <v>15343.65</v>
      </c>
      <c r="H59" s="11">
        <v>15343.65</v>
      </c>
      <c r="I59" s="4" t="s">
        <v>366</v>
      </c>
      <c r="J59" s="4" t="s">
        <v>367</v>
      </c>
      <c r="K59" s="11">
        <v>0</v>
      </c>
      <c r="L59" s="4"/>
      <c r="M59" s="4"/>
      <c r="N59" s="11">
        <v>0</v>
      </c>
      <c r="O59" s="4"/>
      <c r="P59" s="4"/>
      <c r="Q59" s="11">
        <v>0</v>
      </c>
      <c r="R59" s="4"/>
      <c r="S59" s="12"/>
    </row>
    <row r="60" spans="1:19" x14ac:dyDescent="0.25">
      <c r="A60" s="9" t="s">
        <v>42</v>
      </c>
      <c r="B60" s="9" t="s">
        <v>195</v>
      </c>
      <c r="C60" s="4">
        <v>201002295</v>
      </c>
      <c r="D60" s="4"/>
      <c r="E60" s="4" t="str">
        <f>"044782010"</f>
        <v>044782010</v>
      </c>
      <c r="F60" s="10">
        <v>40245</v>
      </c>
      <c r="G60" s="11">
        <v>3163.32</v>
      </c>
      <c r="H60" s="11">
        <v>3163.32</v>
      </c>
      <c r="I60" s="4" t="s">
        <v>366</v>
      </c>
      <c r="J60" s="4" t="s">
        <v>367</v>
      </c>
      <c r="K60" s="11">
        <v>0</v>
      </c>
      <c r="L60" s="4"/>
      <c r="M60" s="4"/>
      <c r="N60" s="11">
        <v>0</v>
      </c>
      <c r="O60" s="4"/>
      <c r="P60" s="4"/>
      <c r="Q60" s="11">
        <v>0</v>
      </c>
      <c r="R60" s="4"/>
      <c r="S60" s="12"/>
    </row>
    <row r="61" spans="1:19" x14ac:dyDescent="0.25">
      <c r="A61" s="9" t="s">
        <v>42</v>
      </c>
      <c r="B61" s="9" t="s">
        <v>195</v>
      </c>
      <c r="C61" s="4">
        <v>201002303</v>
      </c>
      <c r="D61" s="4"/>
      <c r="E61" s="4" t="str">
        <f>"046702010"</f>
        <v>046702010</v>
      </c>
      <c r="F61" s="10">
        <v>40252</v>
      </c>
      <c r="G61" s="11">
        <v>3779.75</v>
      </c>
      <c r="H61" s="11">
        <v>3779.75</v>
      </c>
      <c r="I61" s="4" t="s">
        <v>687</v>
      </c>
      <c r="J61" s="4" t="s">
        <v>688</v>
      </c>
      <c r="K61" s="11">
        <v>0</v>
      </c>
      <c r="L61" s="4"/>
      <c r="M61" s="4"/>
      <c r="N61" s="11">
        <v>0</v>
      </c>
      <c r="O61" s="4"/>
      <c r="P61" s="4"/>
      <c r="Q61" s="11">
        <v>0</v>
      </c>
      <c r="R61" s="4"/>
      <c r="S61" s="12"/>
    </row>
    <row r="62" spans="1:19" x14ac:dyDescent="0.25">
      <c r="A62" s="9" t="s">
        <v>42</v>
      </c>
      <c r="B62" s="9" t="s">
        <v>195</v>
      </c>
      <c r="C62" s="4">
        <v>201002937</v>
      </c>
      <c r="D62" s="4" t="s">
        <v>1737</v>
      </c>
      <c r="E62" s="4" t="str">
        <f>"058452010"</f>
        <v>058452010</v>
      </c>
      <c r="F62" s="10">
        <v>40284</v>
      </c>
      <c r="G62" s="11">
        <v>12769.03</v>
      </c>
      <c r="H62" s="11">
        <v>12769.03</v>
      </c>
      <c r="I62" s="4" t="s">
        <v>366</v>
      </c>
      <c r="J62" s="4" t="s">
        <v>367</v>
      </c>
      <c r="K62" s="11">
        <v>0</v>
      </c>
      <c r="L62" s="4"/>
      <c r="M62" s="4"/>
      <c r="N62" s="11">
        <v>0</v>
      </c>
      <c r="O62" s="4"/>
      <c r="P62" s="4"/>
      <c r="Q62" s="11">
        <v>0</v>
      </c>
      <c r="R62" s="4"/>
      <c r="S62" s="12"/>
    </row>
    <row r="63" spans="1:19" x14ac:dyDescent="0.25">
      <c r="A63" s="9" t="s">
        <v>42</v>
      </c>
      <c r="B63" s="9" t="s">
        <v>195</v>
      </c>
      <c r="C63" s="4">
        <v>201003522</v>
      </c>
      <c r="D63" s="4"/>
      <c r="E63" s="4" t="str">
        <f>"071172010"</f>
        <v>071172010</v>
      </c>
      <c r="F63" s="10">
        <v>40318</v>
      </c>
      <c r="G63" s="11">
        <v>2939.59</v>
      </c>
      <c r="H63" s="11">
        <v>2939.59</v>
      </c>
      <c r="I63" s="4" t="s">
        <v>366</v>
      </c>
      <c r="J63" s="4" t="s">
        <v>367</v>
      </c>
      <c r="K63" s="11">
        <v>0</v>
      </c>
      <c r="L63" s="4"/>
      <c r="M63" s="4"/>
      <c r="N63" s="11">
        <v>0</v>
      </c>
      <c r="O63" s="4"/>
      <c r="P63" s="4"/>
      <c r="Q63" s="11">
        <v>0</v>
      </c>
      <c r="R63" s="4"/>
      <c r="S63" s="12"/>
    </row>
    <row r="64" spans="1:19" x14ac:dyDescent="0.25">
      <c r="A64" s="9" t="s">
        <v>42</v>
      </c>
      <c r="B64" s="9" t="s">
        <v>195</v>
      </c>
      <c r="C64" s="4">
        <v>201003779</v>
      </c>
      <c r="D64" s="4"/>
      <c r="E64" s="4" t="str">
        <f>"075322010"</f>
        <v>075322010</v>
      </c>
      <c r="F64" s="10">
        <v>40332</v>
      </c>
      <c r="G64" s="11">
        <v>3834.2</v>
      </c>
      <c r="H64" s="11">
        <v>3834.2</v>
      </c>
      <c r="I64" s="4" t="s">
        <v>366</v>
      </c>
      <c r="J64" s="4" t="s">
        <v>367</v>
      </c>
      <c r="K64" s="11">
        <v>0</v>
      </c>
      <c r="L64" s="4"/>
      <c r="M64" s="4"/>
      <c r="N64" s="11">
        <v>0</v>
      </c>
      <c r="O64" s="4"/>
      <c r="P64" s="4"/>
      <c r="Q64" s="11">
        <v>0</v>
      </c>
      <c r="R64" s="4"/>
      <c r="S64" s="12"/>
    </row>
    <row r="65" spans="1:19" x14ac:dyDescent="0.25">
      <c r="A65" s="9" t="s">
        <v>42</v>
      </c>
      <c r="B65" s="9" t="s">
        <v>195</v>
      </c>
      <c r="C65" s="4">
        <v>201003838</v>
      </c>
      <c r="D65" s="4"/>
      <c r="E65" s="4" t="str">
        <f>"077572010"</f>
        <v>077572010</v>
      </c>
      <c r="F65" s="10">
        <v>40340</v>
      </c>
      <c r="G65" s="11">
        <v>4763.62</v>
      </c>
      <c r="H65" s="11">
        <v>4763.62</v>
      </c>
      <c r="I65" s="4" t="s">
        <v>366</v>
      </c>
      <c r="J65" s="4" t="s">
        <v>367</v>
      </c>
      <c r="K65" s="11">
        <v>0</v>
      </c>
      <c r="L65" s="4"/>
      <c r="M65" s="4"/>
      <c r="N65" s="11">
        <v>0</v>
      </c>
      <c r="O65" s="4"/>
      <c r="P65" s="4"/>
      <c r="Q65" s="11">
        <v>0</v>
      </c>
      <c r="R65" s="4"/>
      <c r="S65" s="12"/>
    </row>
    <row r="66" spans="1:19" x14ac:dyDescent="0.25">
      <c r="A66" s="9" t="s">
        <v>42</v>
      </c>
      <c r="B66" s="9" t="s">
        <v>42</v>
      </c>
      <c r="C66" s="4">
        <v>201003887</v>
      </c>
      <c r="D66" s="4"/>
      <c r="E66" s="4" t="str">
        <f>"076002010"</f>
        <v>076002010</v>
      </c>
      <c r="F66" s="10">
        <v>40332</v>
      </c>
      <c r="G66" s="11">
        <v>3439</v>
      </c>
      <c r="H66" s="11">
        <v>3439</v>
      </c>
      <c r="I66" s="4" t="s">
        <v>366</v>
      </c>
      <c r="J66" s="4" t="s">
        <v>367</v>
      </c>
      <c r="K66" s="11">
        <v>0</v>
      </c>
      <c r="L66" s="4"/>
      <c r="M66" s="4"/>
      <c r="N66" s="11">
        <v>0</v>
      </c>
      <c r="O66" s="4"/>
      <c r="P66" s="4"/>
      <c r="Q66" s="11">
        <v>0</v>
      </c>
      <c r="R66" s="4"/>
      <c r="S66" s="12"/>
    </row>
    <row r="67" spans="1:19" x14ac:dyDescent="0.25">
      <c r="A67" s="9" t="s">
        <v>42</v>
      </c>
      <c r="B67" s="9" t="s">
        <v>42</v>
      </c>
      <c r="C67" s="4">
        <v>201004047</v>
      </c>
      <c r="D67" s="4"/>
      <c r="E67" s="4" t="str">
        <f>"082332010"</f>
        <v>082332010</v>
      </c>
      <c r="F67" s="10">
        <v>40347</v>
      </c>
      <c r="G67" s="11">
        <v>3598.45</v>
      </c>
      <c r="H67" s="11">
        <v>3598.45</v>
      </c>
      <c r="I67" s="4" t="s">
        <v>366</v>
      </c>
      <c r="J67" s="4" t="s">
        <v>367</v>
      </c>
      <c r="K67" s="11">
        <v>0</v>
      </c>
      <c r="L67" s="4"/>
      <c r="M67" s="4"/>
      <c r="N67" s="11">
        <v>0</v>
      </c>
      <c r="O67" s="4"/>
      <c r="P67" s="4"/>
      <c r="Q67" s="11">
        <v>0</v>
      </c>
      <c r="R67" s="4"/>
      <c r="S67" s="12"/>
    </row>
    <row r="68" spans="1:19" x14ac:dyDescent="0.25">
      <c r="A68" s="9" t="s">
        <v>42</v>
      </c>
      <c r="B68" s="9" t="s">
        <v>42</v>
      </c>
      <c r="C68" s="4">
        <v>201004049</v>
      </c>
      <c r="D68" s="4"/>
      <c r="E68" s="4" t="str">
        <f>"080502010"</f>
        <v>080502010</v>
      </c>
      <c r="F68" s="10">
        <v>40346</v>
      </c>
      <c r="G68" s="11">
        <v>13882.94</v>
      </c>
      <c r="H68" s="11">
        <v>13882.94</v>
      </c>
      <c r="I68" s="4" t="s">
        <v>366</v>
      </c>
      <c r="J68" s="4" t="s">
        <v>367</v>
      </c>
      <c r="K68" s="11">
        <v>0</v>
      </c>
      <c r="L68" s="4"/>
      <c r="M68" s="4"/>
      <c r="N68" s="11">
        <v>0</v>
      </c>
      <c r="O68" s="4"/>
      <c r="P68" s="4"/>
      <c r="Q68" s="11">
        <v>0</v>
      </c>
      <c r="R68" s="4"/>
      <c r="S68" s="12"/>
    </row>
    <row r="69" spans="1:19" x14ac:dyDescent="0.25">
      <c r="A69" s="9" t="s">
        <v>42</v>
      </c>
      <c r="B69" s="9" t="s">
        <v>195</v>
      </c>
      <c r="C69" s="4">
        <v>201004056</v>
      </c>
      <c r="D69" s="4" t="s">
        <v>1738</v>
      </c>
      <c r="E69" s="4" t="str">
        <f>"080602010"</f>
        <v>080602010</v>
      </c>
      <c r="F69" s="10">
        <v>40346</v>
      </c>
      <c r="G69" s="11">
        <v>60000</v>
      </c>
      <c r="H69" s="11">
        <v>60000</v>
      </c>
      <c r="I69" s="4" t="s">
        <v>366</v>
      </c>
      <c r="J69" s="4" t="s">
        <v>367</v>
      </c>
      <c r="K69" s="11">
        <v>0</v>
      </c>
      <c r="L69" s="4"/>
      <c r="M69" s="4"/>
      <c r="N69" s="11">
        <v>0</v>
      </c>
      <c r="O69" s="4"/>
      <c r="P69" s="4"/>
      <c r="Q69" s="11">
        <v>0</v>
      </c>
      <c r="R69" s="4"/>
      <c r="S69" s="12"/>
    </row>
    <row r="70" spans="1:19" x14ac:dyDescent="0.25">
      <c r="A70" s="9" t="s">
        <v>42</v>
      </c>
      <c r="B70" s="9" t="s">
        <v>42</v>
      </c>
      <c r="C70" s="4">
        <v>201004208</v>
      </c>
      <c r="D70" s="4" t="s">
        <v>1739</v>
      </c>
      <c r="E70" s="4" t="str">
        <f>"083502010"</f>
        <v>083502010</v>
      </c>
      <c r="F70" s="10">
        <v>40353</v>
      </c>
      <c r="G70" s="11">
        <v>5807.19</v>
      </c>
      <c r="H70" s="11">
        <v>5807.19</v>
      </c>
      <c r="I70" s="4" t="s">
        <v>366</v>
      </c>
      <c r="J70" s="4" t="s">
        <v>367</v>
      </c>
      <c r="K70" s="11">
        <v>0</v>
      </c>
      <c r="L70" s="4"/>
      <c r="M70" s="4"/>
      <c r="N70" s="11">
        <v>0</v>
      </c>
      <c r="O70" s="4"/>
      <c r="P70" s="4"/>
      <c r="Q70" s="11">
        <v>0</v>
      </c>
      <c r="R70" s="4"/>
      <c r="S70" s="12"/>
    </row>
    <row r="71" spans="1:19" x14ac:dyDescent="0.25">
      <c r="A71" s="9" t="s">
        <v>42</v>
      </c>
      <c r="B71" s="9" t="s">
        <v>42</v>
      </c>
      <c r="C71" s="4">
        <v>201005080</v>
      </c>
      <c r="D71" s="4"/>
      <c r="E71" s="4" t="str">
        <f>"101512010"</f>
        <v>101512010</v>
      </c>
      <c r="F71" s="10">
        <v>40408</v>
      </c>
      <c r="G71" s="11">
        <v>8291.9699999999993</v>
      </c>
      <c r="H71" s="11">
        <v>8291.9699999999993</v>
      </c>
      <c r="I71" s="4" t="s">
        <v>366</v>
      </c>
      <c r="J71" s="4" t="s">
        <v>367</v>
      </c>
      <c r="K71" s="11">
        <v>0</v>
      </c>
      <c r="L71" s="4"/>
      <c r="M71" s="4"/>
      <c r="N71" s="11">
        <v>0</v>
      </c>
      <c r="O71" s="4"/>
      <c r="P71" s="4"/>
      <c r="Q71" s="11">
        <v>0</v>
      </c>
      <c r="R71" s="4"/>
      <c r="S71" s="12"/>
    </row>
    <row r="72" spans="1:19" x14ac:dyDescent="0.25">
      <c r="A72" s="9" t="s">
        <v>1740</v>
      </c>
      <c r="B72" s="9" t="s">
        <v>195</v>
      </c>
      <c r="C72" s="4">
        <v>201003489</v>
      </c>
      <c r="D72" s="4"/>
      <c r="E72" s="4" t="str">
        <f>"069462010"</f>
        <v>069462010</v>
      </c>
      <c r="F72" s="10">
        <v>40312</v>
      </c>
      <c r="G72" s="11">
        <v>2939.59</v>
      </c>
      <c r="H72" s="11">
        <v>2939.59</v>
      </c>
      <c r="I72" s="4" t="s">
        <v>366</v>
      </c>
      <c r="J72" s="4" t="s">
        <v>367</v>
      </c>
      <c r="K72" s="11">
        <v>0</v>
      </c>
      <c r="L72" s="4"/>
      <c r="M72" s="4"/>
      <c r="N72" s="11">
        <v>0</v>
      </c>
      <c r="O72" s="4"/>
      <c r="P72" s="4"/>
      <c r="Q72" s="11">
        <v>0</v>
      </c>
      <c r="R72" s="4"/>
      <c r="S72" s="12"/>
    </row>
    <row r="73" spans="1:19" x14ac:dyDescent="0.25">
      <c r="A73" s="9" t="s">
        <v>1741</v>
      </c>
      <c r="B73" s="9" t="s">
        <v>1741</v>
      </c>
      <c r="C73" s="4">
        <v>201000241</v>
      </c>
      <c r="D73" s="4"/>
      <c r="E73" s="4" t="str">
        <f>"004202010"</f>
        <v>004202010</v>
      </c>
      <c r="F73" s="10">
        <v>40105</v>
      </c>
      <c r="G73" s="11">
        <v>3337.55</v>
      </c>
      <c r="H73" s="11">
        <v>3337.55</v>
      </c>
      <c r="I73" s="4" t="s">
        <v>366</v>
      </c>
      <c r="J73" s="4" t="s">
        <v>367</v>
      </c>
      <c r="K73" s="11">
        <v>0</v>
      </c>
      <c r="L73" s="4"/>
      <c r="M73" s="4"/>
      <c r="N73" s="11">
        <v>0</v>
      </c>
      <c r="O73" s="4"/>
      <c r="P73" s="4"/>
      <c r="Q73" s="11">
        <v>0</v>
      </c>
      <c r="R73" s="4"/>
      <c r="S73" s="12"/>
    </row>
    <row r="74" spans="1:19" x14ac:dyDescent="0.25">
      <c r="A74" s="9" t="s">
        <v>1741</v>
      </c>
      <c r="B74" s="9" t="s">
        <v>1741</v>
      </c>
      <c r="C74" s="4">
        <v>201000245</v>
      </c>
      <c r="D74" s="4"/>
      <c r="E74" s="4" t="str">
        <f>"004262010"</f>
        <v>004262010</v>
      </c>
      <c r="F74" s="10">
        <v>40105</v>
      </c>
      <c r="G74" s="11">
        <v>4744.42</v>
      </c>
      <c r="H74" s="11">
        <v>4744.42</v>
      </c>
      <c r="I74" s="4" t="s">
        <v>366</v>
      </c>
      <c r="J74" s="4" t="s">
        <v>367</v>
      </c>
      <c r="K74" s="11">
        <v>0</v>
      </c>
      <c r="L74" s="4"/>
      <c r="M74" s="4"/>
      <c r="N74" s="11">
        <v>0</v>
      </c>
      <c r="O74" s="4"/>
      <c r="P74" s="4"/>
      <c r="Q74" s="11">
        <v>0</v>
      </c>
      <c r="R74" s="4"/>
      <c r="S74" s="12"/>
    </row>
    <row r="75" spans="1:19" x14ac:dyDescent="0.25">
      <c r="A75" s="9" t="s">
        <v>1741</v>
      </c>
      <c r="B75" s="9" t="s">
        <v>1741</v>
      </c>
      <c r="C75" s="4">
        <v>201002052</v>
      </c>
      <c r="D75" s="4"/>
      <c r="E75" s="4" t="str">
        <f>"086062010"</f>
        <v>086062010</v>
      </c>
      <c r="F75" s="10">
        <v>40357</v>
      </c>
      <c r="G75" s="11">
        <v>10000</v>
      </c>
      <c r="H75" s="11">
        <v>10000</v>
      </c>
      <c r="I75" s="4" t="s">
        <v>54</v>
      </c>
      <c r="J75" s="4" t="s">
        <v>55</v>
      </c>
      <c r="K75" s="11">
        <v>0</v>
      </c>
      <c r="L75" s="4"/>
      <c r="M75" s="4"/>
      <c r="N75" s="11">
        <v>0</v>
      </c>
      <c r="O75" s="4"/>
      <c r="P75" s="4"/>
      <c r="Q75" s="11">
        <v>0</v>
      </c>
      <c r="R75" s="4"/>
      <c r="S75" s="12"/>
    </row>
    <row r="76" spans="1:19" x14ac:dyDescent="0.25">
      <c r="A76" s="9" t="s">
        <v>1741</v>
      </c>
      <c r="B76" s="9" t="s">
        <v>1741</v>
      </c>
      <c r="C76" s="4">
        <v>201002641</v>
      </c>
      <c r="D76" s="4"/>
      <c r="E76" s="4" t="str">
        <f>"055552010"</f>
        <v>055552010</v>
      </c>
      <c r="F76" s="10">
        <v>40275</v>
      </c>
      <c r="G76" s="11">
        <v>3622.98</v>
      </c>
      <c r="H76" s="11">
        <v>3622.98</v>
      </c>
      <c r="I76" s="4" t="s">
        <v>54</v>
      </c>
      <c r="J76" s="4" t="s">
        <v>55</v>
      </c>
      <c r="K76" s="11">
        <v>0</v>
      </c>
      <c r="L76" s="4"/>
      <c r="M76" s="4"/>
      <c r="N76" s="11">
        <v>0</v>
      </c>
      <c r="O76" s="4"/>
      <c r="P76" s="4"/>
      <c r="Q76" s="11">
        <v>0</v>
      </c>
      <c r="R76" s="4"/>
      <c r="S76" s="12"/>
    </row>
    <row r="77" spans="1:19" x14ac:dyDescent="0.25">
      <c r="A77" s="9" t="s">
        <v>1741</v>
      </c>
      <c r="B77" s="9" t="s">
        <v>1741</v>
      </c>
      <c r="C77" s="4">
        <v>201003186</v>
      </c>
      <c r="D77" s="4" t="s">
        <v>1742</v>
      </c>
      <c r="E77" s="4" t="str">
        <f>"063182010"</f>
        <v>063182010</v>
      </c>
      <c r="F77" s="10">
        <v>40296</v>
      </c>
      <c r="G77" s="11">
        <v>15000</v>
      </c>
      <c r="H77" s="11">
        <v>15000</v>
      </c>
      <c r="I77" s="4" t="s">
        <v>366</v>
      </c>
      <c r="J77" s="4" t="s">
        <v>367</v>
      </c>
      <c r="K77" s="11">
        <v>0</v>
      </c>
      <c r="L77" s="4"/>
      <c r="M77" s="4"/>
      <c r="N77" s="11">
        <v>0</v>
      </c>
      <c r="O77" s="4"/>
      <c r="P77" s="4"/>
      <c r="Q77" s="11">
        <v>0</v>
      </c>
      <c r="R77" s="4"/>
      <c r="S77" s="12"/>
    </row>
    <row r="78" spans="1:19" x14ac:dyDescent="0.25">
      <c r="A78" s="9" t="s">
        <v>1741</v>
      </c>
      <c r="B78" s="9" t="s">
        <v>1741</v>
      </c>
      <c r="C78" s="4">
        <v>201005255</v>
      </c>
      <c r="D78" s="4"/>
      <c r="E78" s="4" t="str">
        <f>"105292010"</f>
        <v>105292010</v>
      </c>
      <c r="F78" s="10">
        <v>40415</v>
      </c>
      <c r="G78" s="11">
        <v>2677.93</v>
      </c>
      <c r="H78" s="11">
        <v>2677.93</v>
      </c>
      <c r="I78" s="4" t="s">
        <v>366</v>
      </c>
      <c r="J78" s="4" t="s">
        <v>367</v>
      </c>
      <c r="K78" s="11">
        <v>0</v>
      </c>
      <c r="L78" s="4"/>
      <c r="M78" s="4"/>
      <c r="N78" s="11">
        <v>0</v>
      </c>
      <c r="O78" s="4"/>
      <c r="P78" s="4"/>
      <c r="Q78" s="11">
        <v>0</v>
      </c>
      <c r="R78" s="4"/>
      <c r="S78" s="12"/>
    </row>
    <row r="79" spans="1:19" x14ac:dyDescent="0.25">
      <c r="A79" s="9" t="s">
        <v>49</v>
      </c>
      <c r="B79" s="9" t="s">
        <v>552</v>
      </c>
      <c r="C79" s="4">
        <v>200904629</v>
      </c>
      <c r="D79" s="4" t="s">
        <v>1743</v>
      </c>
      <c r="E79" s="4" t="str">
        <f>"086562009"</f>
        <v>086562009</v>
      </c>
      <c r="F79" s="10">
        <v>40092</v>
      </c>
      <c r="G79" s="11">
        <v>10714.08</v>
      </c>
      <c r="H79" s="11">
        <v>10714.08</v>
      </c>
      <c r="I79" s="4" t="s">
        <v>366</v>
      </c>
      <c r="J79" s="4" t="s">
        <v>367</v>
      </c>
      <c r="K79" s="11">
        <v>0</v>
      </c>
      <c r="L79" s="4"/>
      <c r="M79" s="4"/>
      <c r="N79" s="11">
        <v>0</v>
      </c>
      <c r="O79" s="4"/>
      <c r="P79" s="4"/>
      <c r="Q79" s="11">
        <v>0</v>
      </c>
      <c r="R79" s="4"/>
      <c r="S79" s="12"/>
    </row>
    <row r="80" spans="1:19" x14ac:dyDescent="0.25">
      <c r="A80" s="9" t="s">
        <v>49</v>
      </c>
      <c r="B80" s="9" t="s">
        <v>552</v>
      </c>
      <c r="C80" s="4">
        <v>201000037</v>
      </c>
      <c r="D80" s="4"/>
      <c r="E80" s="4" t="str">
        <f>"001802010"</f>
        <v>001802010</v>
      </c>
      <c r="F80" s="10">
        <v>40094</v>
      </c>
      <c r="G80" s="11">
        <v>9000</v>
      </c>
      <c r="H80" s="11">
        <v>9000</v>
      </c>
      <c r="I80" s="4" t="s">
        <v>366</v>
      </c>
      <c r="J80" s="4" t="s">
        <v>367</v>
      </c>
      <c r="K80" s="11">
        <v>0</v>
      </c>
      <c r="L80" s="4"/>
      <c r="M80" s="4"/>
      <c r="N80" s="11">
        <v>0</v>
      </c>
      <c r="O80" s="4"/>
      <c r="P80" s="4"/>
      <c r="Q80" s="11">
        <v>0</v>
      </c>
      <c r="R80" s="4"/>
      <c r="S80" s="12"/>
    </row>
    <row r="81" spans="1:19" x14ac:dyDescent="0.25">
      <c r="A81" s="9" t="s">
        <v>49</v>
      </c>
      <c r="B81" s="9" t="s">
        <v>49</v>
      </c>
      <c r="C81" s="4">
        <v>201000143</v>
      </c>
      <c r="D81" s="4" t="s">
        <v>1744</v>
      </c>
      <c r="E81" s="4" t="str">
        <f>"022072010"</f>
        <v>022072010</v>
      </c>
      <c r="F81" s="10">
        <v>40164</v>
      </c>
      <c r="G81" s="11">
        <v>3000</v>
      </c>
      <c r="H81" s="11">
        <v>3000</v>
      </c>
      <c r="I81" s="4" t="s">
        <v>366</v>
      </c>
      <c r="J81" s="4" t="s">
        <v>367</v>
      </c>
      <c r="K81" s="11">
        <v>0</v>
      </c>
      <c r="L81" s="4"/>
      <c r="M81" s="4"/>
      <c r="N81" s="11">
        <v>0</v>
      </c>
      <c r="O81" s="4"/>
      <c r="P81" s="4"/>
      <c r="Q81" s="11">
        <v>0</v>
      </c>
      <c r="R81" s="4"/>
      <c r="S81" s="12"/>
    </row>
    <row r="82" spans="1:19" x14ac:dyDescent="0.25">
      <c r="A82" s="9" t="s">
        <v>49</v>
      </c>
      <c r="B82" s="9" t="s">
        <v>49</v>
      </c>
      <c r="C82" s="4">
        <v>201000173</v>
      </c>
      <c r="D82" s="4"/>
      <c r="E82" s="4" t="str">
        <f>"002982010"</f>
        <v>002982010</v>
      </c>
      <c r="F82" s="10">
        <v>40101</v>
      </c>
      <c r="G82" s="11">
        <v>25000</v>
      </c>
      <c r="H82" s="11">
        <v>25000</v>
      </c>
      <c r="I82" s="4" t="s">
        <v>366</v>
      </c>
      <c r="J82" s="4" t="s">
        <v>367</v>
      </c>
      <c r="K82" s="11">
        <v>0</v>
      </c>
      <c r="L82" s="4"/>
      <c r="M82" s="4"/>
      <c r="N82" s="11">
        <v>0</v>
      </c>
      <c r="O82" s="4"/>
      <c r="P82" s="4"/>
      <c r="Q82" s="11">
        <v>0</v>
      </c>
      <c r="R82" s="4"/>
      <c r="S82" s="12"/>
    </row>
    <row r="83" spans="1:19" x14ac:dyDescent="0.25">
      <c r="A83" s="9" t="s">
        <v>49</v>
      </c>
      <c r="B83" s="9" t="s">
        <v>49</v>
      </c>
      <c r="C83" s="4">
        <v>201000174</v>
      </c>
      <c r="D83" s="4"/>
      <c r="E83" s="4" t="str">
        <f>"003042010"</f>
        <v>003042010</v>
      </c>
      <c r="F83" s="10">
        <v>40101</v>
      </c>
      <c r="G83" s="11">
        <v>10000</v>
      </c>
      <c r="H83" s="11">
        <v>10000</v>
      </c>
      <c r="I83" s="4" t="s">
        <v>366</v>
      </c>
      <c r="J83" s="4" t="s">
        <v>367</v>
      </c>
      <c r="K83" s="11">
        <v>0</v>
      </c>
      <c r="L83" s="4"/>
      <c r="M83" s="4"/>
      <c r="N83" s="11">
        <v>0</v>
      </c>
      <c r="O83" s="4"/>
      <c r="P83" s="4"/>
      <c r="Q83" s="11">
        <v>0</v>
      </c>
      <c r="R83" s="4"/>
      <c r="S83" s="12"/>
    </row>
    <row r="84" spans="1:19" x14ac:dyDescent="0.25">
      <c r="A84" s="9" t="s">
        <v>49</v>
      </c>
      <c r="B84" s="9" t="s">
        <v>49</v>
      </c>
      <c r="C84" s="4">
        <v>201000175</v>
      </c>
      <c r="D84" s="4"/>
      <c r="E84" s="4" t="str">
        <f>"003022010"</f>
        <v>003022010</v>
      </c>
      <c r="F84" s="10">
        <v>40101</v>
      </c>
      <c r="G84" s="11">
        <v>4000</v>
      </c>
      <c r="H84" s="11">
        <v>4000</v>
      </c>
      <c r="I84" s="4" t="s">
        <v>366</v>
      </c>
      <c r="J84" s="4" t="s">
        <v>367</v>
      </c>
      <c r="K84" s="11">
        <v>0</v>
      </c>
      <c r="L84" s="4"/>
      <c r="M84" s="4"/>
      <c r="N84" s="11">
        <v>0</v>
      </c>
      <c r="O84" s="4"/>
      <c r="P84" s="4"/>
      <c r="Q84" s="11">
        <v>0</v>
      </c>
      <c r="R84" s="4"/>
      <c r="S84" s="12"/>
    </row>
    <row r="85" spans="1:19" x14ac:dyDescent="0.25">
      <c r="A85" s="9" t="s">
        <v>49</v>
      </c>
      <c r="B85" s="9" t="s">
        <v>49</v>
      </c>
      <c r="C85" s="4">
        <v>201000684</v>
      </c>
      <c r="D85" s="4"/>
      <c r="E85" s="4" t="str">
        <f>"012772010"</f>
        <v>012772010</v>
      </c>
      <c r="F85" s="10">
        <v>40135</v>
      </c>
      <c r="G85" s="11">
        <v>2750</v>
      </c>
      <c r="H85" s="11">
        <v>2750</v>
      </c>
      <c r="I85" s="4" t="s">
        <v>366</v>
      </c>
      <c r="J85" s="4" t="s">
        <v>367</v>
      </c>
      <c r="K85" s="11">
        <v>0</v>
      </c>
      <c r="L85" s="4"/>
      <c r="M85" s="4"/>
      <c r="N85" s="11">
        <v>0</v>
      </c>
      <c r="O85" s="4"/>
      <c r="P85" s="4"/>
      <c r="Q85" s="11">
        <v>0</v>
      </c>
      <c r="R85" s="4"/>
      <c r="S85" s="12"/>
    </row>
    <row r="86" spans="1:19" x14ac:dyDescent="0.25">
      <c r="A86" s="9" t="s">
        <v>49</v>
      </c>
      <c r="B86" s="9" t="s">
        <v>552</v>
      </c>
      <c r="C86" s="4">
        <v>201000925</v>
      </c>
      <c r="D86" s="4" t="s">
        <v>1745</v>
      </c>
      <c r="E86" s="4" t="str">
        <f>"017462010"</f>
        <v>017462010</v>
      </c>
      <c r="F86" s="10">
        <v>40150</v>
      </c>
      <c r="G86" s="11">
        <v>20750</v>
      </c>
      <c r="H86" s="11">
        <v>20750</v>
      </c>
      <c r="I86" s="4" t="s">
        <v>366</v>
      </c>
      <c r="J86" s="4" t="s">
        <v>367</v>
      </c>
      <c r="K86" s="11">
        <v>0</v>
      </c>
      <c r="L86" s="4"/>
      <c r="M86" s="4"/>
      <c r="N86" s="11">
        <v>0</v>
      </c>
      <c r="O86" s="4"/>
      <c r="P86" s="4"/>
      <c r="Q86" s="11">
        <v>0</v>
      </c>
      <c r="R86" s="4"/>
      <c r="S86" s="12"/>
    </row>
    <row r="87" spans="1:19" x14ac:dyDescent="0.25">
      <c r="A87" s="9" t="s">
        <v>49</v>
      </c>
      <c r="B87" s="9" t="s">
        <v>49</v>
      </c>
      <c r="C87" s="4">
        <v>201000998</v>
      </c>
      <c r="D87" s="4"/>
      <c r="E87" s="4" t="str">
        <f>"019092010"</f>
        <v>019092010</v>
      </c>
      <c r="F87" s="10">
        <v>40155</v>
      </c>
      <c r="G87" s="11">
        <v>6165.77</v>
      </c>
      <c r="H87" s="11">
        <v>6165.77</v>
      </c>
      <c r="I87" s="4" t="s">
        <v>366</v>
      </c>
      <c r="J87" s="4" t="s">
        <v>367</v>
      </c>
      <c r="K87" s="11">
        <v>0</v>
      </c>
      <c r="L87" s="4"/>
      <c r="M87" s="4"/>
      <c r="N87" s="11">
        <v>0</v>
      </c>
      <c r="O87" s="4"/>
      <c r="P87" s="4"/>
      <c r="Q87" s="11">
        <v>0</v>
      </c>
      <c r="R87" s="4"/>
      <c r="S87" s="12"/>
    </row>
    <row r="88" spans="1:19" x14ac:dyDescent="0.25">
      <c r="A88" s="9" t="s">
        <v>49</v>
      </c>
      <c r="B88" s="9" t="s">
        <v>49</v>
      </c>
      <c r="C88" s="4">
        <v>201001052</v>
      </c>
      <c r="D88" s="4"/>
      <c r="E88" s="4" t="str">
        <f>"019942010"</f>
        <v>019942010</v>
      </c>
      <c r="F88" s="10">
        <v>40157</v>
      </c>
      <c r="G88" s="11">
        <v>3099.99</v>
      </c>
      <c r="H88" s="11">
        <v>3099.99</v>
      </c>
      <c r="I88" s="4" t="s">
        <v>366</v>
      </c>
      <c r="J88" s="4" t="s">
        <v>367</v>
      </c>
      <c r="K88" s="11">
        <v>0</v>
      </c>
      <c r="L88" s="4"/>
      <c r="M88" s="4"/>
      <c r="N88" s="11">
        <v>0</v>
      </c>
      <c r="O88" s="4"/>
      <c r="P88" s="4"/>
      <c r="Q88" s="11">
        <v>0</v>
      </c>
      <c r="R88" s="4"/>
      <c r="S88" s="12"/>
    </row>
    <row r="89" spans="1:19" x14ac:dyDescent="0.25">
      <c r="A89" s="9" t="s">
        <v>49</v>
      </c>
      <c r="B89" s="9" t="s">
        <v>552</v>
      </c>
      <c r="C89" s="4">
        <v>201001234</v>
      </c>
      <c r="D89" s="4" t="s">
        <v>1746</v>
      </c>
      <c r="E89" s="4" t="str">
        <f>"024192010"</f>
        <v>024192010</v>
      </c>
      <c r="F89" s="10">
        <v>40176</v>
      </c>
      <c r="G89" s="11">
        <v>7721.93</v>
      </c>
      <c r="H89" s="11">
        <v>7721.93</v>
      </c>
      <c r="I89" s="4" t="s">
        <v>366</v>
      </c>
      <c r="J89" s="4" t="s">
        <v>367</v>
      </c>
      <c r="K89" s="11">
        <v>0</v>
      </c>
      <c r="L89" s="4"/>
      <c r="M89" s="4"/>
      <c r="N89" s="11">
        <v>0</v>
      </c>
      <c r="O89" s="4"/>
      <c r="P89" s="4"/>
      <c r="Q89" s="11">
        <v>0</v>
      </c>
      <c r="R89" s="4"/>
      <c r="S89" s="12"/>
    </row>
    <row r="90" spans="1:19" x14ac:dyDescent="0.25">
      <c r="A90" s="9" t="s">
        <v>49</v>
      </c>
      <c r="B90" s="9" t="s">
        <v>49</v>
      </c>
      <c r="C90" s="4">
        <v>201001294</v>
      </c>
      <c r="D90" s="4"/>
      <c r="E90" s="4" t="str">
        <f>"025032010"</f>
        <v>025032010</v>
      </c>
      <c r="F90" s="10">
        <v>40177</v>
      </c>
      <c r="G90" s="11">
        <v>5958.57</v>
      </c>
      <c r="H90" s="11">
        <v>5958.57</v>
      </c>
      <c r="I90" s="4" t="s">
        <v>366</v>
      </c>
      <c r="J90" s="4" t="s">
        <v>367</v>
      </c>
      <c r="K90" s="11">
        <v>0</v>
      </c>
      <c r="L90" s="4"/>
      <c r="M90" s="4"/>
      <c r="N90" s="11">
        <v>0</v>
      </c>
      <c r="O90" s="4"/>
      <c r="P90" s="4"/>
      <c r="Q90" s="11">
        <v>0</v>
      </c>
      <c r="R90" s="4"/>
      <c r="S90" s="12"/>
    </row>
    <row r="91" spans="1:19" x14ac:dyDescent="0.25">
      <c r="A91" s="9" t="s">
        <v>49</v>
      </c>
      <c r="B91" s="9" t="s">
        <v>49</v>
      </c>
      <c r="C91" s="4">
        <v>201001355</v>
      </c>
      <c r="D91" s="4" t="s">
        <v>1747</v>
      </c>
      <c r="E91" s="4" t="str">
        <f>"026192010"</f>
        <v>026192010</v>
      </c>
      <c r="F91" s="10">
        <v>40190</v>
      </c>
      <c r="G91" s="11">
        <v>20000</v>
      </c>
      <c r="H91" s="11">
        <v>20000</v>
      </c>
      <c r="I91" s="4" t="s">
        <v>366</v>
      </c>
      <c r="J91" s="4" t="s">
        <v>367</v>
      </c>
      <c r="K91" s="11">
        <v>0</v>
      </c>
      <c r="L91" s="4"/>
      <c r="M91" s="4"/>
      <c r="N91" s="11">
        <v>0</v>
      </c>
      <c r="O91" s="4"/>
      <c r="P91" s="4"/>
      <c r="Q91" s="11">
        <v>0</v>
      </c>
      <c r="R91" s="4"/>
      <c r="S91" s="12"/>
    </row>
    <row r="92" spans="1:19" x14ac:dyDescent="0.25">
      <c r="A92" s="9" t="s">
        <v>49</v>
      </c>
      <c r="B92" s="9" t="s">
        <v>49</v>
      </c>
      <c r="C92" s="4">
        <v>201001370</v>
      </c>
      <c r="D92" s="4"/>
      <c r="E92" s="4" t="str">
        <f>"026432010"</f>
        <v>026432010</v>
      </c>
      <c r="F92" s="10">
        <v>40190</v>
      </c>
      <c r="G92" s="11">
        <v>14027.81</v>
      </c>
      <c r="H92" s="11">
        <v>14027.81</v>
      </c>
      <c r="I92" s="4" t="s">
        <v>366</v>
      </c>
      <c r="J92" s="4" t="s">
        <v>367</v>
      </c>
      <c r="K92" s="11">
        <v>0</v>
      </c>
      <c r="L92" s="4"/>
      <c r="M92" s="4"/>
      <c r="N92" s="11">
        <v>0</v>
      </c>
      <c r="O92" s="4"/>
      <c r="P92" s="4"/>
      <c r="Q92" s="11">
        <v>0</v>
      </c>
      <c r="R92" s="4"/>
      <c r="S92" s="12"/>
    </row>
    <row r="93" spans="1:19" x14ac:dyDescent="0.25">
      <c r="A93" s="9" t="s">
        <v>49</v>
      </c>
      <c r="B93" s="9" t="s">
        <v>291</v>
      </c>
      <c r="C93" s="4">
        <v>201001431</v>
      </c>
      <c r="D93" s="4" t="s">
        <v>1748</v>
      </c>
      <c r="E93" s="4" t="str">
        <f>"029492010"</f>
        <v>029492010</v>
      </c>
      <c r="F93" s="10">
        <v>40192</v>
      </c>
      <c r="G93" s="11">
        <v>1000000</v>
      </c>
      <c r="H93" s="11">
        <v>1000000</v>
      </c>
      <c r="I93" s="4" t="s">
        <v>366</v>
      </c>
      <c r="J93" s="4" t="s">
        <v>367</v>
      </c>
      <c r="K93" s="11">
        <v>0</v>
      </c>
      <c r="L93" s="4"/>
      <c r="M93" s="4"/>
      <c r="N93" s="11">
        <v>0</v>
      </c>
      <c r="O93" s="4"/>
      <c r="P93" s="4"/>
      <c r="Q93" s="11">
        <v>0</v>
      </c>
      <c r="R93" s="4"/>
      <c r="S93" s="12"/>
    </row>
    <row r="94" spans="1:19" x14ac:dyDescent="0.25">
      <c r="A94" s="9" t="s">
        <v>49</v>
      </c>
      <c r="B94" s="9" t="s">
        <v>49</v>
      </c>
      <c r="C94" s="4">
        <v>201002049</v>
      </c>
      <c r="D94" s="4"/>
      <c r="E94" s="4" t="str">
        <f>"040342010"</f>
        <v>040342010</v>
      </c>
      <c r="F94" s="10">
        <v>40232</v>
      </c>
      <c r="G94" s="11">
        <v>3923.55</v>
      </c>
      <c r="H94" s="11">
        <v>3923.55</v>
      </c>
      <c r="I94" s="4" t="s">
        <v>366</v>
      </c>
      <c r="J94" s="4" t="s">
        <v>367</v>
      </c>
      <c r="K94" s="11">
        <v>0</v>
      </c>
      <c r="L94" s="4"/>
      <c r="M94" s="4"/>
      <c r="N94" s="11">
        <v>0</v>
      </c>
      <c r="O94" s="4"/>
      <c r="P94" s="4"/>
      <c r="Q94" s="11">
        <v>0</v>
      </c>
      <c r="R94" s="4"/>
      <c r="S94" s="12"/>
    </row>
    <row r="95" spans="1:19" x14ac:dyDescent="0.25">
      <c r="A95" s="9" t="s">
        <v>49</v>
      </c>
      <c r="B95" s="9" t="s">
        <v>49</v>
      </c>
      <c r="C95" s="4">
        <v>201002533</v>
      </c>
      <c r="D95" s="4" t="s">
        <v>1749</v>
      </c>
      <c r="E95" s="4" t="str">
        <f>"050642010"</f>
        <v>050642010</v>
      </c>
      <c r="F95" s="10">
        <v>40263</v>
      </c>
      <c r="G95" s="11">
        <v>12000</v>
      </c>
      <c r="H95" s="11">
        <v>12000</v>
      </c>
      <c r="I95" s="4" t="s">
        <v>366</v>
      </c>
      <c r="J95" s="4" t="s">
        <v>367</v>
      </c>
      <c r="K95" s="11">
        <v>0</v>
      </c>
      <c r="L95" s="4"/>
      <c r="M95" s="4"/>
      <c r="N95" s="11">
        <v>0</v>
      </c>
      <c r="O95" s="4"/>
      <c r="P95" s="4"/>
      <c r="Q95" s="11">
        <v>0</v>
      </c>
      <c r="R95" s="4"/>
      <c r="S95" s="12"/>
    </row>
    <row r="96" spans="1:19" x14ac:dyDescent="0.25">
      <c r="A96" s="9" t="s">
        <v>49</v>
      </c>
      <c r="B96" s="9" t="s">
        <v>552</v>
      </c>
      <c r="C96" s="4">
        <v>201002680</v>
      </c>
      <c r="D96" s="4" t="s">
        <v>1750</v>
      </c>
      <c r="E96" s="4" t="str">
        <f>"059432010"</f>
        <v>059432010</v>
      </c>
      <c r="F96" s="10">
        <v>40287</v>
      </c>
      <c r="G96" s="11">
        <v>5700.84</v>
      </c>
      <c r="H96" s="11">
        <v>5700.84</v>
      </c>
      <c r="I96" s="4" t="s">
        <v>366</v>
      </c>
      <c r="J96" s="4" t="s">
        <v>367</v>
      </c>
      <c r="K96" s="11">
        <v>0</v>
      </c>
      <c r="L96" s="4"/>
      <c r="M96" s="4"/>
      <c r="N96" s="11">
        <v>0</v>
      </c>
      <c r="O96" s="4"/>
      <c r="P96" s="4"/>
      <c r="Q96" s="11">
        <v>0</v>
      </c>
      <c r="R96" s="4"/>
      <c r="S96" s="12"/>
    </row>
    <row r="97" spans="1:19" x14ac:dyDescent="0.25">
      <c r="A97" s="9" t="s">
        <v>49</v>
      </c>
      <c r="B97" s="9" t="s">
        <v>49</v>
      </c>
      <c r="C97" s="4">
        <v>201002693</v>
      </c>
      <c r="D97" s="4"/>
      <c r="E97" s="4" t="str">
        <f>"055392010"</f>
        <v>055392010</v>
      </c>
      <c r="F97" s="10">
        <v>40273</v>
      </c>
      <c r="G97" s="11">
        <v>3107.19</v>
      </c>
      <c r="H97" s="11">
        <v>3107.19</v>
      </c>
      <c r="I97" s="4" t="s">
        <v>366</v>
      </c>
      <c r="J97" s="4" t="s">
        <v>367</v>
      </c>
      <c r="K97" s="11">
        <v>0</v>
      </c>
      <c r="L97" s="4"/>
      <c r="M97" s="4"/>
      <c r="N97" s="11">
        <v>0</v>
      </c>
      <c r="O97" s="4"/>
      <c r="P97" s="4"/>
      <c r="Q97" s="11">
        <v>0</v>
      </c>
      <c r="R97" s="4"/>
      <c r="S97" s="12"/>
    </row>
    <row r="98" spans="1:19" x14ac:dyDescent="0.25">
      <c r="A98" s="9" t="s">
        <v>49</v>
      </c>
      <c r="B98" s="9" t="s">
        <v>49</v>
      </c>
      <c r="C98" s="4">
        <v>201002695</v>
      </c>
      <c r="D98" s="4"/>
      <c r="E98" s="4" t="str">
        <f>"056632010"</f>
        <v>056632010</v>
      </c>
      <c r="F98" s="10">
        <v>40276</v>
      </c>
      <c r="G98" s="11">
        <v>10000</v>
      </c>
      <c r="H98" s="11">
        <v>10000</v>
      </c>
      <c r="I98" s="4" t="s">
        <v>366</v>
      </c>
      <c r="J98" s="4" t="s">
        <v>367</v>
      </c>
      <c r="K98" s="11">
        <v>0</v>
      </c>
      <c r="L98" s="4"/>
      <c r="M98" s="4"/>
      <c r="N98" s="11">
        <v>0</v>
      </c>
      <c r="O98" s="4"/>
      <c r="P98" s="4"/>
      <c r="Q98" s="11">
        <v>0</v>
      </c>
      <c r="R98" s="4"/>
      <c r="S98" s="12"/>
    </row>
    <row r="99" spans="1:19" x14ac:dyDescent="0.25">
      <c r="A99" s="9" t="s">
        <v>49</v>
      </c>
      <c r="B99" s="9" t="s">
        <v>552</v>
      </c>
      <c r="C99" s="4">
        <v>201002790</v>
      </c>
      <c r="D99" s="4" t="s">
        <v>1751</v>
      </c>
      <c r="E99" s="4" t="str">
        <f>"054962010"</f>
        <v>054962010</v>
      </c>
      <c r="F99" s="10">
        <v>40274</v>
      </c>
      <c r="G99" s="11">
        <v>32200</v>
      </c>
      <c r="H99" s="11">
        <v>32200</v>
      </c>
      <c r="I99" s="4" t="s">
        <v>54</v>
      </c>
      <c r="J99" s="4" t="s">
        <v>55</v>
      </c>
      <c r="K99" s="11">
        <v>0</v>
      </c>
      <c r="L99" s="4"/>
      <c r="M99" s="4"/>
      <c r="N99" s="11">
        <v>0</v>
      </c>
      <c r="O99" s="4"/>
      <c r="P99" s="4"/>
      <c r="Q99" s="11">
        <v>0</v>
      </c>
      <c r="R99" s="4"/>
      <c r="S99" s="12"/>
    </row>
    <row r="100" spans="1:19" x14ac:dyDescent="0.25">
      <c r="A100" s="9" t="s">
        <v>49</v>
      </c>
      <c r="B100" s="9" t="s">
        <v>552</v>
      </c>
      <c r="C100" s="4">
        <v>201003124</v>
      </c>
      <c r="D100" s="4"/>
      <c r="E100" s="4" t="str">
        <f>"062702010"</f>
        <v>062702010</v>
      </c>
      <c r="F100" s="10">
        <v>40296</v>
      </c>
      <c r="G100" s="11">
        <v>7701.19</v>
      </c>
      <c r="H100" s="11">
        <v>7701.19</v>
      </c>
      <c r="I100" s="4" t="s">
        <v>366</v>
      </c>
      <c r="J100" s="4" t="s">
        <v>367</v>
      </c>
      <c r="K100" s="11">
        <v>0</v>
      </c>
      <c r="L100" s="4"/>
      <c r="M100" s="4"/>
      <c r="N100" s="11">
        <v>0</v>
      </c>
      <c r="O100" s="4"/>
      <c r="P100" s="4"/>
      <c r="Q100" s="11">
        <v>0</v>
      </c>
      <c r="R100" s="4"/>
      <c r="S100" s="12"/>
    </row>
    <row r="101" spans="1:19" x14ac:dyDescent="0.25">
      <c r="A101" s="9" t="s">
        <v>49</v>
      </c>
      <c r="B101" s="9" t="s">
        <v>552</v>
      </c>
      <c r="C101" s="4">
        <v>201003173</v>
      </c>
      <c r="D101" s="4"/>
      <c r="E101" s="4" t="str">
        <f>"065402010"</f>
        <v>065402010</v>
      </c>
      <c r="F101" s="10">
        <v>40304</v>
      </c>
      <c r="G101" s="11">
        <v>2621.92</v>
      </c>
      <c r="H101" s="11">
        <v>2621.92</v>
      </c>
      <c r="I101" s="4" t="s">
        <v>366</v>
      </c>
      <c r="J101" s="4" t="s">
        <v>367</v>
      </c>
      <c r="K101" s="11">
        <v>0</v>
      </c>
      <c r="L101" s="4"/>
      <c r="M101" s="4"/>
      <c r="N101" s="11">
        <v>0</v>
      </c>
      <c r="O101" s="4"/>
      <c r="P101" s="4"/>
      <c r="Q101" s="11">
        <v>0</v>
      </c>
      <c r="R101" s="4"/>
      <c r="S101" s="12"/>
    </row>
    <row r="102" spans="1:19" x14ac:dyDescent="0.25">
      <c r="A102" s="9" t="s">
        <v>49</v>
      </c>
      <c r="B102" s="9" t="s">
        <v>49</v>
      </c>
      <c r="C102" s="4">
        <v>201003218</v>
      </c>
      <c r="D102" s="4"/>
      <c r="E102" s="4" t="str">
        <f>"064082010"</f>
        <v>064082010</v>
      </c>
      <c r="F102" s="10">
        <v>40302</v>
      </c>
      <c r="G102" s="11">
        <v>3850.62</v>
      </c>
      <c r="H102" s="11">
        <v>3850.62</v>
      </c>
      <c r="I102" s="4" t="s">
        <v>366</v>
      </c>
      <c r="J102" s="4" t="s">
        <v>367</v>
      </c>
      <c r="K102" s="11">
        <v>0</v>
      </c>
      <c r="L102" s="4"/>
      <c r="M102" s="4"/>
      <c r="N102" s="11">
        <v>0</v>
      </c>
      <c r="O102" s="4"/>
      <c r="P102" s="4"/>
      <c r="Q102" s="11">
        <v>0</v>
      </c>
      <c r="R102" s="4"/>
      <c r="S102" s="12"/>
    </row>
    <row r="103" spans="1:19" x14ac:dyDescent="0.25">
      <c r="A103" s="9" t="s">
        <v>49</v>
      </c>
      <c r="B103" s="9" t="s">
        <v>49</v>
      </c>
      <c r="C103" s="4">
        <v>201003417</v>
      </c>
      <c r="D103" s="4"/>
      <c r="E103" s="4" t="str">
        <f>"067842010"</f>
        <v>067842010</v>
      </c>
      <c r="F103" s="10">
        <v>40311</v>
      </c>
      <c r="G103" s="11">
        <v>4463</v>
      </c>
      <c r="H103" s="11">
        <v>4463</v>
      </c>
      <c r="I103" s="4" t="s">
        <v>366</v>
      </c>
      <c r="J103" s="4" t="s">
        <v>367</v>
      </c>
      <c r="K103" s="11">
        <v>0</v>
      </c>
      <c r="L103" s="4"/>
      <c r="M103" s="4"/>
      <c r="N103" s="11">
        <v>0</v>
      </c>
      <c r="O103" s="4"/>
      <c r="P103" s="4"/>
      <c r="Q103" s="11">
        <v>0</v>
      </c>
      <c r="R103" s="4"/>
      <c r="S103" s="12"/>
    </row>
    <row r="104" spans="1:19" x14ac:dyDescent="0.25">
      <c r="A104" s="9" t="s">
        <v>49</v>
      </c>
      <c r="B104" s="9" t="s">
        <v>49</v>
      </c>
      <c r="C104" s="4">
        <v>201003555</v>
      </c>
      <c r="D104" s="4"/>
      <c r="E104" s="4" t="str">
        <f>"075902010"</f>
        <v>075902010</v>
      </c>
      <c r="F104" s="10">
        <v>40333</v>
      </c>
      <c r="G104" s="11">
        <v>5187.2</v>
      </c>
      <c r="H104" s="11">
        <v>5187.2</v>
      </c>
      <c r="I104" s="4" t="s">
        <v>1752</v>
      </c>
      <c r="J104" s="4" t="s">
        <v>1753</v>
      </c>
      <c r="K104" s="11">
        <v>0</v>
      </c>
      <c r="L104" s="4"/>
      <c r="M104" s="4"/>
      <c r="N104" s="11">
        <v>0</v>
      </c>
      <c r="O104" s="4"/>
      <c r="P104" s="4"/>
      <c r="Q104" s="11">
        <v>0</v>
      </c>
      <c r="R104" s="4"/>
      <c r="S104" s="12"/>
    </row>
    <row r="105" spans="1:19" x14ac:dyDescent="0.25">
      <c r="A105" s="9" t="s">
        <v>49</v>
      </c>
      <c r="B105" s="9" t="s">
        <v>552</v>
      </c>
      <c r="C105" s="4">
        <v>201003650</v>
      </c>
      <c r="D105" s="4" t="s">
        <v>1754</v>
      </c>
      <c r="E105" s="4" t="str">
        <f>"075382010"</f>
        <v>075382010</v>
      </c>
      <c r="F105" s="10">
        <v>40331</v>
      </c>
      <c r="G105" s="11">
        <v>6275.05</v>
      </c>
      <c r="H105" s="11">
        <v>6275.05</v>
      </c>
      <c r="I105" s="4" t="s">
        <v>366</v>
      </c>
      <c r="J105" s="4" t="s">
        <v>367</v>
      </c>
      <c r="K105" s="11">
        <v>0</v>
      </c>
      <c r="L105" s="4"/>
      <c r="M105" s="4"/>
      <c r="N105" s="11">
        <v>0</v>
      </c>
      <c r="O105" s="4"/>
      <c r="P105" s="4"/>
      <c r="Q105" s="11">
        <v>0</v>
      </c>
      <c r="R105" s="4"/>
      <c r="S105" s="12"/>
    </row>
    <row r="106" spans="1:19" x14ac:dyDescent="0.25">
      <c r="A106" s="9" t="s">
        <v>49</v>
      </c>
      <c r="B106" s="9" t="s">
        <v>552</v>
      </c>
      <c r="C106" s="4">
        <v>201003658</v>
      </c>
      <c r="D106" s="4"/>
      <c r="E106" s="4" t="str">
        <f>"093982010"</f>
        <v>093982010</v>
      </c>
      <c r="F106" s="10">
        <v>40379</v>
      </c>
      <c r="G106" s="11">
        <v>10000</v>
      </c>
      <c r="H106" s="11">
        <v>10000</v>
      </c>
      <c r="I106" s="4" t="s">
        <v>54</v>
      </c>
      <c r="J106" s="4" t="s">
        <v>55</v>
      </c>
      <c r="K106" s="11">
        <v>0</v>
      </c>
      <c r="L106" s="4"/>
      <c r="M106" s="4"/>
      <c r="N106" s="11">
        <v>0</v>
      </c>
      <c r="O106" s="4"/>
      <c r="P106" s="4"/>
      <c r="Q106" s="11">
        <v>0</v>
      </c>
      <c r="R106" s="4"/>
      <c r="S106" s="12"/>
    </row>
    <row r="107" spans="1:19" x14ac:dyDescent="0.25">
      <c r="A107" s="9" t="s">
        <v>49</v>
      </c>
      <c r="B107" s="9" t="s">
        <v>552</v>
      </c>
      <c r="C107" s="4">
        <v>201004133</v>
      </c>
      <c r="D107" s="4"/>
      <c r="E107" s="4" t="str">
        <f>"081662010"</f>
        <v>081662010</v>
      </c>
      <c r="F107" s="10">
        <v>40354</v>
      </c>
      <c r="G107" s="11">
        <v>10550.71</v>
      </c>
      <c r="H107" s="11">
        <v>10550.71</v>
      </c>
      <c r="I107" s="4" t="s">
        <v>366</v>
      </c>
      <c r="J107" s="4" t="s">
        <v>367</v>
      </c>
      <c r="K107" s="11">
        <v>0</v>
      </c>
      <c r="L107" s="4"/>
      <c r="M107" s="4"/>
      <c r="N107" s="11">
        <v>0</v>
      </c>
      <c r="O107" s="4"/>
      <c r="P107" s="4"/>
      <c r="Q107" s="11">
        <v>0</v>
      </c>
      <c r="R107" s="4"/>
      <c r="S107" s="12"/>
    </row>
    <row r="108" spans="1:19" x14ac:dyDescent="0.25">
      <c r="A108" s="9" t="s">
        <v>49</v>
      </c>
      <c r="B108" s="9" t="s">
        <v>552</v>
      </c>
      <c r="C108" s="4">
        <v>201004182</v>
      </c>
      <c r="D108" s="4" t="s">
        <v>1755</v>
      </c>
      <c r="E108" s="4" t="str">
        <f>"083252010"</f>
        <v>083252010</v>
      </c>
      <c r="F108" s="10">
        <v>40347</v>
      </c>
      <c r="G108" s="11">
        <v>2853.02</v>
      </c>
      <c r="H108" s="11">
        <v>2853.02</v>
      </c>
      <c r="I108" s="4" t="s">
        <v>366</v>
      </c>
      <c r="J108" s="4" t="s">
        <v>367</v>
      </c>
      <c r="K108" s="11">
        <v>0</v>
      </c>
      <c r="L108" s="4"/>
      <c r="M108" s="4"/>
      <c r="N108" s="11">
        <v>0</v>
      </c>
      <c r="O108" s="4"/>
      <c r="P108" s="4"/>
      <c r="Q108" s="11">
        <v>0</v>
      </c>
      <c r="R108" s="4"/>
      <c r="S108" s="12"/>
    </row>
    <row r="109" spans="1:19" x14ac:dyDescent="0.25">
      <c r="A109" s="9" t="s">
        <v>49</v>
      </c>
      <c r="B109" s="9" t="s">
        <v>49</v>
      </c>
      <c r="C109" s="4">
        <v>201004289</v>
      </c>
      <c r="D109" s="4"/>
      <c r="E109" s="4" t="str">
        <f>"085122010"</f>
        <v>085122010</v>
      </c>
      <c r="F109" s="10">
        <v>40358</v>
      </c>
      <c r="G109" s="11">
        <v>11073.17</v>
      </c>
      <c r="H109" s="11">
        <v>11073.17</v>
      </c>
      <c r="I109" s="4" t="s">
        <v>54</v>
      </c>
      <c r="J109" s="4" t="s">
        <v>55</v>
      </c>
      <c r="K109" s="11">
        <v>0</v>
      </c>
      <c r="L109" s="4"/>
      <c r="M109" s="4"/>
      <c r="N109" s="11">
        <v>0</v>
      </c>
      <c r="O109" s="4"/>
      <c r="P109" s="4"/>
      <c r="Q109" s="11">
        <v>0</v>
      </c>
      <c r="R109" s="4"/>
      <c r="S109" s="12"/>
    </row>
    <row r="110" spans="1:19" x14ac:dyDescent="0.25">
      <c r="A110" s="9" t="s">
        <v>49</v>
      </c>
      <c r="B110" s="9" t="s">
        <v>49</v>
      </c>
      <c r="C110" s="4">
        <v>201004865</v>
      </c>
      <c r="D110" s="4"/>
      <c r="E110" s="4" t="str">
        <f>"097072010"</f>
        <v>097072010</v>
      </c>
      <c r="F110" s="10">
        <v>40394</v>
      </c>
      <c r="G110" s="11">
        <v>4890.37</v>
      </c>
      <c r="H110" s="11">
        <v>4890.37</v>
      </c>
      <c r="I110" s="4" t="s">
        <v>54</v>
      </c>
      <c r="J110" s="4" t="s">
        <v>55</v>
      </c>
      <c r="K110" s="11">
        <v>0</v>
      </c>
      <c r="L110" s="4"/>
      <c r="M110" s="4"/>
      <c r="N110" s="11">
        <v>0</v>
      </c>
      <c r="O110" s="4"/>
      <c r="P110" s="4"/>
      <c r="Q110" s="11">
        <v>0</v>
      </c>
      <c r="R110" s="4"/>
      <c r="S110" s="12"/>
    </row>
    <row r="111" spans="1:19" x14ac:dyDescent="0.25">
      <c r="A111" s="9" t="s">
        <v>49</v>
      </c>
      <c r="B111" s="9" t="s">
        <v>49</v>
      </c>
      <c r="C111" s="4">
        <v>201005511</v>
      </c>
      <c r="D111" s="4"/>
      <c r="E111" s="4" t="str">
        <f>"109832010"</f>
        <v>109832010</v>
      </c>
      <c r="F111" s="10">
        <v>40431</v>
      </c>
      <c r="G111" s="11">
        <v>23045.95</v>
      </c>
      <c r="H111" s="11">
        <v>23045.95</v>
      </c>
      <c r="I111" s="4" t="s">
        <v>54</v>
      </c>
      <c r="J111" s="4" t="s">
        <v>55</v>
      </c>
      <c r="K111" s="11">
        <v>0</v>
      </c>
      <c r="L111" s="4"/>
      <c r="M111" s="4"/>
      <c r="N111" s="11">
        <v>0</v>
      </c>
      <c r="O111" s="4"/>
      <c r="P111" s="4"/>
      <c r="Q111" s="11">
        <v>0</v>
      </c>
      <c r="R111" s="4"/>
      <c r="S111" s="12"/>
    </row>
    <row r="112" spans="1:19" x14ac:dyDescent="0.25">
      <c r="A112" s="9" t="s">
        <v>49</v>
      </c>
      <c r="B112" s="9" t="s">
        <v>552</v>
      </c>
      <c r="C112" s="4">
        <v>201005665</v>
      </c>
      <c r="D112" s="4"/>
      <c r="E112" s="4" t="str">
        <f>"113642010"</f>
        <v>113642010</v>
      </c>
      <c r="F112" s="10">
        <v>40450</v>
      </c>
      <c r="G112" s="11">
        <v>22854.21</v>
      </c>
      <c r="H112" s="11">
        <v>22854.21</v>
      </c>
      <c r="I112" s="4" t="s">
        <v>1752</v>
      </c>
      <c r="J112" s="4" t="s">
        <v>1753</v>
      </c>
      <c r="K112" s="11">
        <v>0</v>
      </c>
      <c r="L112" s="4"/>
      <c r="M112" s="4"/>
      <c r="N112" s="11">
        <v>0</v>
      </c>
      <c r="O112" s="4"/>
      <c r="P112" s="4"/>
      <c r="Q112" s="11">
        <v>0</v>
      </c>
      <c r="R112" s="4"/>
      <c r="S112" s="12"/>
    </row>
    <row r="113" spans="1:19" x14ac:dyDescent="0.25">
      <c r="A113" s="9" t="s">
        <v>1756</v>
      </c>
      <c r="B113" s="9" t="s">
        <v>1756</v>
      </c>
      <c r="C113" s="4">
        <v>201003047</v>
      </c>
      <c r="D113" s="4" t="s">
        <v>1757</v>
      </c>
      <c r="E113" s="4" t="str">
        <f>"060422010"</f>
        <v>060422010</v>
      </c>
      <c r="F113" s="10">
        <v>40290</v>
      </c>
      <c r="G113" s="11">
        <v>15000</v>
      </c>
      <c r="H113" s="11">
        <v>15000</v>
      </c>
      <c r="I113" s="4" t="s">
        <v>366</v>
      </c>
      <c r="J113" s="4" t="s">
        <v>367</v>
      </c>
      <c r="K113" s="11">
        <v>0</v>
      </c>
      <c r="L113" s="4"/>
      <c r="M113" s="4"/>
      <c r="N113" s="11">
        <v>0</v>
      </c>
      <c r="O113" s="4"/>
      <c r="P113" s="4"/>
      <c r="Q113" s="11">
        <v>0</v>
      </c>
      <c r="R113" s="4"/>
      <c r="S113" s="12"/>
    </row>
    <row r="114" spans="1:19" x14ac:dyDescent="0.25">
      <c r="A114" s="9" t="s">
        <v>1756</v>
      </c>
      <c r="B114" s="9" t="s">
        <v>356</v>
      </c>
      <c r="C114" s="4">
        <v>201003646</v>
      </c>
      <c r="D114" s="4"/>
      <c r="E114" s="4" t="str">
        <f>"079182010"</f>
        <v>079182010</v>
      </c>
      <c r="F114" s="10">
        <v>40344</v>
      </c>
      <c r="G114" s="11">
        <v>3177.92</v>
      </c>
      <c r="H114" s="11">
        <v>3177.92</v>
      </c>
      <c r="I114" s="4" t="s">
        <v>366</v>
      </c>
      <c r="J114" s="4" t="s">
        <v>367</v>
      </c>
      <c r="K114" s="11">
        <v>0</v>
      </c>
      <c r="L114" s="4"/>
      <c r="M114" s="4"/>
      <c r="N114" s="11">
        <v>0</v>
      </c>
      <c r="O114" s="4"/>
      <c r="P114" s="4"/>
      <c r="Q114" s="11">
        <v>0</v>
      </c>
      <c r="R114" s="4"/>
      <c r="S114" s="12"/>
    </row>
    <row r="115" spans="1:19" x14ac:dyDescent="0.25">
      <c r="A115" s="9" t="s">
        <v>1756</v>
      </c>
      <c r="B115" s="9" t="s">
        <v>1756</v>
      </c>
      <c r="C115" s="4">
        <v>201005157</v>
      </c>
      <c r="D115" s="4" t="s">
        <v>1758</v>
      </c>
      <c r="E115" s="4" t="str">
        <f>"104312010"</f>
        <v>104312010</v>
      </c>
      <c r="F115" s="10">
        <v>40413</v>
      </c>
      <c r="G115" s="11">
        <v>13574.52</v>
      </c>
      <c r="H115" s="11">
        <v>13574.52</v>
      </c>
      <c r="I115" s="4" t="s">
        <v>366</v>
      </c>
      <c r="J115" s="4" t="s">
        <v>367</v>
      </c>
      <c r="K115" s="11">
        <v>0</v>
      </c>
      <c r="L115" s="4"/>
      <c r="M115" s="4"/>
      <c r="N115" s="11">
        <v>0</v>
      </c>
      <c r="O115" s="4"/>
      <c r="P115" s="4"/>
      <c r="Q115" s="11">
        <v>0</v>
      </c>
      <c r="R115" s="4"/>
      <c r="S115" s="12"/>
    </row>
    <row r="116" spans="1:19" x14ac:dyDescent="0.25">
      <c r="A116" s="9" t="s">
        <v>81</v>
      </c>
      <c r="B116" s="9" t="s">
        <v>552</v>
      </c>
      <c r="C116" s="4">
        <v>200905867</v>
      </c>
      <c r="D116" s="4"/>
      <c r="E116" s="4" t="str">
        <f>"086522009"</f>
        <v>086522009</v>
      </c>
      <c r="F116" s="10">
        <v>40091</v>
      </c>
      <c r="G116" s="11">
        <v>4845.2700000000004</v>
      </c>
      <c r="H116" s="11">
        <v>4845.2700000000004</v>
      </c>
      <c r="I116" s="4" t="s">
        <v>366</v>
      </c>
      <c r="J116" s="4" t="s">
        <v>367</v>
      </c>
      <c r="K116" s="11">
        <v>0</v>
      </c>
      <c r="L116" s="4"/>
      <c r="M116" s="4"/>
      <c r="N116" s="11">
        <v>0</v>
      </c>
      <c r="O116" s="4"/>
      <c r="P116" s="4"/>
      <c r="Q116" s="11">
        <v>0</v>
      </c>
      <c r="R116" s="4"/>
      <c r="S116" s="12"/>
    </row>
    <row r="117" spans="1:19" x14ac:dyDescent="0.25">
      <c r="A117" s="9" t="s">
        <v>81</v>
      </c>
      <c r="B117" s="9" t="s">
        <v>81</v>
      </c>
      <c r="C117" s="4">
        <v>201000038</v>
      </c>
      <c r="D117" s="4"/>
      <c r="E117" s="4" t="str">
        <f>"001042010"</f>
        <v>001042010</v>
      </c>
      <c r="F117" s="10">
        <v>40094</v>
      </c>
      <c r="G117" s="11">
        <v>5189.5600000000004</v>
      </c>
      <c r="H117" s="11">
        <v>5189.5600000000004</v>
      </c>
      <c r="I117" s="4" t="s">
        <v>366</v>
      </c>
      <c r="J117" s="4" t="s">
        <v>367</v>
      </c>
      <c r="K117" s="11">
        <v>0</v>
      </c>
      <c r="L117" s="4"/>
      <c r="M117" s="4"/>
      <c r="N117" s="11">
        <v>0</v>
      </c>
      <c r="O117" s="4"/>
      <c r="P117" s="4"/>
      <c r="Q117" s="11">
        <v>0</v>
      </c>
      <c r="R117" s="4"/>
      <c r="S117" s="12"/>
    </row>
    <row r="118" spans="1:19" x14ac:dyDescent="0.25">
      <c r="A118" s="9" t="s">
        <v>81</v>
      </c>
      <c r="B118" s="9" t="s">
        <v>552</v>
      </c>
      <c r="C118" s="4">
        <v>201000215</v>
      </c>
      <c r="D118" s="4"/>
      <c r="E118" s="4" t="str">
        <f>"003782010"</f>
        <v>003782010</v>
      </c>
      <c r="F118" s="10">
        <v>40105</v>
      </c>
      <c r="G118" s="11">
        <v>3000</v>
      </c>
      <c r="H118" s="11">
        <v>3000</v>
      </c>
      <c r="I118" s="4" t="s">
        <v>366</v>
      </c>
      <c r="J118" s="4" t="s">
        <v>367</v>
      </c>
      <c r="K118" s="11">
        <v>0</v>
      </c>
      <c r="L118" s="4"/>
      <c r="M118" s="4"/>
      <c r="N118" s="11">
        <v>0</v>
      </c>
      <c r="O118" s="4"/>
      <c r="P118" s="4"/>
      <c r="Q118" s="11">
        <v>0</v>
      </c>
      <c r="R118" s="4"/>
      <c r="S118" s="12"/>
    </row>
    <row r="119" spans="1:19" x14ac:dyDescent="0.25">
      <c r="A119" s="9" t="s">
        <v>81</v>
      </c>
      <c r="B119" s="9" t="s">
        <v>552</v>
      </c>
      <c r="C119" s="4">
        <v>201000483</v>
      </c>
      <c r="D119" s="4" t="s">
        <v>1759</v>
      </c>
      <c r="E119" s="4" t="str">
        <f>"018352010"</f>
        <v>018352010</v>
      </c>
      <c r="F119" s="10">
        <v>40155</v>
      </c>
      <c r="G119" s="11">
        <v>4962.5</v>
      </c>
      <c r="H119" s="11">
        <v>4962.5</v>
      </c>
      <c r="I119" s="4" t="s">
        <v>366</v>
      </c>
      <c r="J119" s="4" t="s">
        <v>367</v>
      </c>
      <c r="K119" s="11">
        <v>0</v>
      </c>
      <c r="L119" s="4"/>
      <c r="M119" s="4"/>
      <c r="N119" s="11">
        <v>0</v>
      </c>
      <c r="O119" s="4"/>
      <c r="P119" s="4"/>
      <c r="Q119" s="11">
        <v>0</v>
      </c>
      <c r="R119" s="4"/>
      <c r="S119" s="12"/>
    </row>
    <row r="120" spans="1:19" x14ac:dyDescent="0.25">
      <c r="A120" s="9" t="s">
        <v>81</v>
      </c>
      <c r="B120" s="9" t="s">
        <v>552</v>
      </c>
      <c r="C120" s="4">
        <v>201000534</v>
      </c>
      <c r="D120" s="4" t="s">
        <v>1759</v>
      </c>
      <c r="E120" s="4" t="str">
        <f>"018342010"</f>
        <v>018342010</v>
      </c>
      <c r="F120" s="10">
        <v>40155</v>
      </c>
      <c r="G120" s="11">
        <v>9266.3700000000008</v>
      </c>
      <c r="H120" s="11">
        <v>9266.3700000000008</v>
      </c>
      <c r="I120" s="4" t="s">
        <v>366</v>
      </c>
      <c r="J120" s="4" t="s">
        <v>367</v>
      </c>
      <c r="K120" s="11">
        <v>0</v>
      </c>
      <c r="L120" s="4"/>
      <c r="M120" s="4"/>
      <c r="N120" s="11">
        <v>0</v>
      </c>
      <c r="O120" s="4"/>
      <c r="P120" s="4"/>
      <c r="Q120" s="11">
        <v>0</v>
      </c>
      <c r="R120" s="4"/>
      <c r="S120" s="12"/>
    </row>
    <row r="121" spans="1:19" x14ac:dyDescent="0.25">
      <c r="A121" s="9" t="s">
        <v>81</v>
      </c>
      <c r="B121" s="9" t="s">
        <v>81</v>
      </c>
      <c r="C121" s="4">
        <v>201001015</v>
      </c>
      <c r="D121" s="4"/>
      <c r="E121" s="4" t="str">
        <f>"030812010"</f>
        <v>030812010</v>
      </c>
      <c r="F121" s="10">
        <v>40193</v>
      </c>
      <c r="G121" s="11">
        <v>12576.62</v>
      </c>
      <c r="H121" s="11">
        <v>12576.62</v>
      </c>
      <c r="I121" s="4" t="s">
        <v>366</v>
      </c>
      <c r="J121" s="4" t="s">
        <v>367</v>
      </c>
      <c r="K121" s="11">
        <v>0</v>
      </c>
      <c r="L121" s="4"/>
      <c r="M121" s="4"/>
      <c r="N121" s="11">
        <v>0</v>
      </c>
      <c r="O121" s="4"/>
      <c r="P121" s="4"/>
      <c r="Q121" s="11">
        <v>0</v>
      </c>
      <c r="R121" s="4"/>
      <c r="S121" s="12"/>
    </row>
    <row r="122" spans="1:19" x14ac:dyDescent="0.25">
      <c r="A122" s="9" t="s">
        <v>81</v>
      </c>
      <c r="B122" s="9" t="s">
        <v>81</v>
      </c>
      <c r="C122" s="4">
        <v>201001255</v>
      </c>
      <c r="D122" s="4"/>
      <c r="E122" s="4" t="str">
        <f>"024612010"</f>
        <v>024612010</v>
      </c>
      <c r="F122" s="10">
        <v>40177</v>
      </c>
      <c r="G122" s="11">
        <v>4772.9399999999996</v>
      </c>
      <c r="H122" s="11">
        <v>4772.9399999999996</v>
      </c>
      <c r="I122" s="4" t="s">
        <v>54</v>
      </c>
      <c r="J122" s="4" t="s">
        <v>55</v>
      </c>
      <c r="K122" s="11">
        <v>0</v>
      </c>
      <c r="L122" s="4"/>
      <c r="M122" s="4"/>
      <c r="N122" s="11">
        <v>0</v>
      </c>
      <c r="O122" s="4"/>
      <c r="P122" s="4"/>
      <c r="Q122" s="11">
        <v>0</v>
      </c>
      <c r="R122" s="4"/>
      <c r="S122" s="12"/>
    </row>
    <row r="123" spans="1:19" x14ac:dyDescent="0.25">
      <c r="A123" s="9" t="s">
        <v>81</v>
      </c>
      <c r="B123" s="9" t="s">
        <v>81</v>
      </c>
      <c r="C123" s="4">
        <v>201001539</v>
      </c>
      <c r="D123" s="4"/>
      <c r="E123" s="4" t="str">
        <f>"029632010"</f>
        <v>029632010</v>
      </c>
      <c r="F123" s="10">
        <v>40192</v>
      </c>
      <c r="G123" s="11">
        <v>3141.6</v>
      </c>
      <c r="H123" s="11">
        <v>3141.6</v>
      </c>
      <c r="I123" s="4" t="s">
        <v>54</v>
      </c>
      <c r="J123" s="4" t="s">
        <v>55</v>
      </c>
      <c r="K123" s="11">
        <v>0</v>
      </c>
      <c r="L123" s="4"/>
      <c r="M123" s="4"/>
      <c r="N123" s="11">
        <v>0</v>
      </c>
      <c r="O123" s="4"/>
      <c r="P123" s="4"/>
      <c r="Q123" s="11">
        <v>0</v>
      </c>
      <c r="R123" s="4"/>
      <c r="S123" s="12"/>
    </row>
    <row r="124" spans="1:19" x14ac:dyDescent="0.25">
      <c r="A124" s="9" t="s">
        <v>81</v>
      </c>
      <c r="B124" s="9" t="s">
        <v>81</v>
      </c>
      <c r="C124" s="4">
        <v>201001838</v>
      </c>
      <c r="D124" s="4"/>
      <c r="E124" s="4" t="str">
        <f>"035702010"</f>
        <v>035702010</v>
      </c>
      <c r="F124" s="10">
        <v>40213</v>
      </c>
      <c r="G124" s="11">
        <v>4474.47</v>
      </c>
      <c r="H124" s="11">
        <v>4474.47</v>
      </c>
      <c r="I124" s="4" t="s">
        <v>366</v>
      </c>
      <c r="J124" s="4" t="s">
        <v>367</v>
      </c>
      <c r="K124" s="11">
        <v>0</v>
      </c>
      <c r="L124" s="4"/>
      <c r="M124" s="4"/>
      <c r="N124" s="11">
        <v>0</v>
      </c>
      <c r="O124" s="4"/>
      <c r="P124" s="4"/>
      <c r="Q124" s="11">
        <v>0</v>
      </c>
      <c r="R124" s="4"/>
      <c r="S124" s="12"/>
    </row>
    <row r="125" spans="1:19" x14ac:dyDescent="0.25">
      <c r="A125" s="9" t="s">
        <v>81</v>
      </c>
      <c r="B125" s="9" t="s">
        <v>81</v>
      </c>
      <c r="C125" s="4">
        <v>201002128</v>
      </c>
      <c r="D125" s="4"/>
      <c r="E125" s="4" t="str">
        <f>"043492010"</f>
        <v>043492010</v>
      </c>
      <c r="F125" s="10">
        <v>40241</v>
      </c>
      <c r="G125" s="11">
        <v>6075.45</v>
      </c>
      <c r="H125" s="11">
        <v>6075.45</v>
      </c>
      <c r="I125" s="4" t="s">
        <v>366</v>
      </c>
      <c r="J125" s="4" t="s">
        <v>367</v>
      </c>
      <c r="K125" s="11">
        <v>0</v>
      </c>
      <c r="L125" s="4"/>
      <c r="M125" s="4"/>
      <c r="N125" s="11">
        <v>0</v>
      </c>
      <c r="O125" s="4"/>
      <c r="P125" s="4"/>
      <c r="Q125" s="11">
        <v>0</v>
      </c>
      <c r="R125" s="4"/>
      <c r="S125" s="12"/>
    </row>
    <row r="126" spans="1:19" x14ac:dyDescent="0.25">
      <c r="A126" s="9" t="s">
        <v>81</v>
      </c>
      <c r="B126" s="9" t="s">
        <v>552</v>
      </c>
      <c r="C126" s="4">
        <v>201002258</v>
      </c>
      <c r="D126" s="4"/>
      <c r="E126" s="4" t="str">
        <f>"044302010"</f>
        <v>044302010</v>
      </c>
      <c r="F126" s="10">
        <v>40245</v>
      </c>
      <c r="G126" s="11">
        <v>3279.73</v>
      </c>
      <c r="H126" s="11">
        <v>3279.73</v>
      </c>
      <c r="I126" s="4" t="s">
        <v>366</v>
      </c>
      <c r="J126" s="4" t="s">
        <v>367</v>
      </c>
      <c r="K126" s="11">
        <v>0</v>
      </c>
      <c r="L126" s="4"/>
      <c r="M126" s="4"/>
      <c r="N126" s="11">
        <v>0</v>
      </c>
      <c r="O126" s="4"/>
      <c r="P126" s="4"/>
      <c r="Q126" s="11">
        <v>0</v>
      </c>
      <c r="R126" s="4"/>
      <c r="S126" s="12"/>
    </row>
    <row r="127" spans="1:19" x14ac:dyDescent="0.25">
      <c r="A127" s="9" t="s">
        <v>81</v>
      </c>
      <c r="B127" s="9" t="s">
        <v>81</v>
      </c>
      <c r="C127" s="4">
        <v>201002300</v>
      </c>
      <c r="D127" s="4"/>
      <c r="E127" s="4" t="str">
        <f>"045102010"</f>
        <v>045102010</v>
      </c>
      <c r="F127" s="10">
        <v>40246</v>
      </c>
      <c r="G127" s="11">
        <v>317352.74</v>
      </c>
      <c r="H127" s="11">
        <v>317352.74</v>
      </c>
      <c r="I127" s="4" t="s">
        <v>54</v>
      </c>
      <c r="J127" s="4" t="s">
        <v>55</v>
      </c>
      <c r="K127" s="11">
        <v>0</v>
      </c>
      <c r="L127" s="4"/>
      <c r="M127" s="4"/>
      <c r="N127" s="11">
        <v>0</v>
      </c>
      <c r="O127" s="4"/>
      <c r="P127" s="4"/>
      <c r="Q127" s="11">
        <v>0</v>
      </c>
      <c r="R127" s="4"/>
      <c r="S127" s="12"/>
    </row>
    <row r="128" spans="1:19" x14ac:dyDescent="0.25">
      <c r="A128" s="9" t="s">
        <v>81</v>
      </c>
      <c r="B128" s="9" t="s">
        <v>81</v>
      </c>
      <c r="C128" s="4">
        <v>201002397</v>
      </c>
      <c r="D128" s="4"/>
      <c r="E128" s="4" t="str">
        <f>"048282010"</f>
        <v>048282010</v>
      </c>
      <c r="F128" s="10">
        <v>40255</v>
      </c>
      <c r="G128" s="11">
        <v>11072.91</v>
      </c>
      <c r="H128" s="11">
        <v>11072.91</v>
      </c>
      <c r="I128" s="4" t="s">
        <v>366</v>
      </c>
      <c r="J128" s="4" t="s">
        <v>367</v>
      </c>
      <c r="K128" s="11">
        <v>0</v>
      </c>
      <c r="L128" s="4"/>
      <c r="M128" s="4"/>
      <c r="N128" s="11">
        <v>0</v>
      </c>
      <c r="O128" s="4"/>
      <c r="P128" s="4"/>
      <c r="Q128" s="11">
        <v>0</v>
      </c>
      <c r="R128" s="4"/>
      <c r="S128" s="12"/>
    </row>
    <row r="129" spans="1:19" x14ac:dyDescent="0.25">
      <c r="A129" s="9" t="s">
        <v>81</v>
      </c>
      <c r="B129" s="9" t="s">
        <v>81</v>
      </c>
      <c r="C129" s="4">
        <v>201002563</v>
      </c>
      <c r="D129" s="4"/>
      <c r="E129" s="4" t="str">
        <f>"051142010"</f>
        <v>051142010</v>
      </c>
      <c r="F129" s="10">
        <v>40263</v>
      </c>
      <c r="G129" s="11">
        <v>3409.46</v>
      </c>
      <c r="H129" s="11">
        <v>3409.46</v>
      </c>
      <c r="I129" s="4" t="s">
        <v>54</v>
      </c>
      <c r="J129" s="4" t="s">
        <v>55</v>
      </c>
      <c r="K129" s="11">
        <v>0</v>
      </c>
      <c r="L129" s="4"/>
      <c r="M129" s="4"/>
      <c r="N129" s="11">
        <v>0</v>
      </c>
      <c r="O129" s="4"/>
      <c r="P129" s="4"/>
      <c r="Q129" s="11">
        <v>0</v>
      </c>
      <c r="R129" s="4"/>
      <c r="S129" s="12"/>
    </row>
    <row r="130" spans="1:19" x14ac:dyDescent="0.25">
      <c r="A130" s="9" t="s">
        <v>81</v>
      </c>
      <c r="B130" s="9" t="s">
        <v>81</v>
      </c>
      <c r="C130" s="4">
        <v>201002691</v>
      </c>
      <c r="D130" s="4"/>
      <c r="E130" s="4" t="str">
        <f>"056652010"</f>
        <v>056652010</v>
      </c>
      <c r="F130" s="10">
        <v>40276</v>
      </c>
      <c r="G130" s="11">
        <v>3602.75</v>
      </c>
      <c r="H130" s="11">
        <v>3602.75</v>
      </c>
      <c r="I130" s="4" t="s">
        <v>366</v>
      </c>
      <c r="J130" s="4" t="s">
        <v>367</v>
      </c>
      <c r="K130" s="11">
        <v>0</v>
      </c>
      <c r="L130" s="4"/>
      <c r="M130" s="4"/>
      <c r="N130" s="11">
        <v>0</v>
      </c>
      <c r="O130" s="4"/>
      <c r="P130" s="4"/>
      <c r="Q130" s="11">
        <v>0</v>
      </c>
      <c r="R130" s="4"/>
      <c r="S130" s="12"/>
    </row>
    <row r="131" spans="1:19" x14ac:dyDescent="0.25">
      <c r="A131" s="9" t="s">
        <v>81</v>
      </c>
      <c r="B131" s="9" t="s">
        <v>81</v>
      </c>
      <c r="C131" s="4">
        <v>201003621</v>
      </c>
      <c r="D131" s="4"/>
      <c r="E131" s="4" t="str">
        <f>"072032010"</f>
        <v>072032010</v>
      </c>
      <c r="F131" s="10">
        <v>40323</v>
      </c>
      <c r="G131" s="11">
        <v>4239</v>
      </c>
      <c r="H131" s="11">
        <v>4239</v>
      </c>
      <c r="I131" s="4" t="s">
        <v>54</v>
      </c>
      <c r="J131" s="4" t="s">
        <v>55</v>
      </c>
      <c r="K131" s="11">
        <v>0</v>
      </c>
      <c r="L131" s="4"/>
      <c r="M131" s="4"/>
      <c r="N131" s="11">
        <v>0</v>
      </c>
      <c r="O131" s="4"/>
      <c r="P131" s="4"/>
      <c r="Q131" s="11">
        <v>0</v>
      </c>
      <c r="R131" s="4"/>
      <c r="S131" s="12"/>
    </row>
    <row r="132" spans="1:19" x14ac:dyDescent="0.25">
      <c r="A132" s="9" t="s">
        <v>81</v>
      </c>
      <c r="B132" s="9" t="s">
        <v>81</v>
      </c>
      <c r="C132" s="4">
        <v>201003959</v>
      </c>
      <c r="D132" s="4"/>
      <c r="E132" s="4" t="str">
        <f>"079882010"</f>
        <v>079882010</v>
      </c>
      <c r="F132" s="10">
        <v>40344</v>
      </c>
      <c r="G132" s="11">
        <v>4699.1400000000003</v>
      </c>
      <c r="H132" s="11">
        <v>4699.1400000000003</v>
      </c>
      <c r="I132" s="4" t="s">
        <v>366</v>
      </c>
      <c r="J132" s="4" t="s">
        <v>367</v>
      </c>
      <c r="K132" s="11">
        <v>0</v>
      </c>
      <c r="L132" s="4"/>
      <c r="M132" s="4"/>
      <c r="N132" s="11">
        <v>0</v>
      </c>
      <c r="O132" s="4"/>
      <c r="P132" s="4"/>
      <c r="Q132" s="11">
        <v>0</v>
      </c>
      <c r="R132" s="4"/>
      <c r="S132" s="12"/>
    </row>
    <row r="133" spans="1:19" x14ac:dyDescent="0.25">
      <c r="A133" s="9" t="s">
        <v>81</v>
      </c>
      <c r="B133" s="9" t="s">
        <v>552</v>
      </c>
      <c r="C133" s="4">
        <v>201004128</v>
      </c>
      <c r="D133" s="4" t="s">
        <v>1760</v>
      </c>
      <c r="E133" s="4" t="str">
        <f>"107142010"</f>
        <v>107142010</v>
      </c>
      <c r="F133" s="10">
        <v>40420</v>
      </c>
      <c r="G133" s="11">
        <v>6175</v>
      </c>
      <c r="H133" s="11">
        <v>6175</v>
      </c>
      <c r="I133" s="4" t="s">
        <v>54</v>
      </c>
      <c r="J133" s="4" t="s">
        <v>55</v>
      </c>
      <c r="K133" s="11">
        <v>0</v>
      </c>
      <c r="L133" s="4"/>
      <c r="M133" s="4"/>
      <c r="N133" s="11">
        <v>0</v>
      </c>
      <c r="O133" s="4"/>
      <c r="P133" s="4"/>
      <c r="Q133" s="11">
        <v>0</v>
      </c>
      <c r="R133" s="4"/>
      <c r="S133" s="12"/>
    </row>
    <row r="134" spans="1:19" x14ac:dyDescent="0.25">
      <c r="A134" s="9" t="s">
        <v>81</v>
      </c>
      <c r="B134" s="9" t="s">
        <v>552</v>
      </c>
      <c r="C134" s="4">
        <v>201004130</v>
      </c>
      <c r="D134" s="4"/>
      <c r="E134" s="4" t="str">
        <f>"081642010"</f>
        <v>081642010</v>
      </c>
      <c r="F134" s="10">
        <v>40354</v>
      </c>
      <c r="G134" s="11">
        <v>4686.9799999999996</v>
      </c>
      <c r="H134" s="11">
        <v>4686.9799999999996</v>
      </c>
      <c r="I134" s="4" t="s">
        <v>366</v>
      </c>
      <c r="J134" s="4" t="s">
        <v>367</v>
      </c>
      <c r="K134" s="11">
        <v>0</v>
      </c>
      <c r="L134" s="4"/>
      <c r="M134" s="4"/>
      <c r="N134" s="11">
        <v>0</v>
      </c>
      <c r="O134" s="4"/>
      <c r="P134" s="4"/>
      <c r="Q134" s="11">
        <v>0</v>
      </c>
      <c r="R134" s="4"/>
      <c r="S134" s="12"/>
    </row>
    <row r="135" spans="1:19" x14ac:dyDescent="0.25">
      <c r="A135" s="9" t="s">
        <v>81</v>
      </c>
      <c r="B135" s="9" t="s">
        <v>81</v>
      </c>
      <c r="C135" s="4">
        <v>201004244</v>
      </c>
      <c r="D135" s="4"/>
      <c r="E135" s="4" t="str">
        <f>"084162010"</f>
        <v>084162010</v>
      </c>
      <c r="F135" s="10">
        <v>40354</v>
      </c>
      <c r="G135" s="11">
        <v>3378</v>
      </c>
      <c r="H135" s="11">
        <v>3378</v>
      </c>
      <c r="I135" s="4" t="s">
        <v>54</v>
      </c>
      <c r="J135" s="4" t="s">
        <v>55</v>
      </c>
      <c r="K135" s="11">
        <v>0</v>
      </c>
      <c r="L135" s="4"/>
      <c r="M135" s="4"/>
      <c r="N135" s="11">
        <v>0</v>
      </c>
      <c r="O135" s="4"/>
      <c r="P135" s="4"/>
      <c r="Q135" s="11">
        <v>0</v>
      </c>
      <c r="R135" s="4"/>
      <c r="S135" s="12"/>
    </row>
    <row r="136" spans="1:19" x14ac:dyDescent="0.25">
      <c r="A136" s="9" t="s">
        <v>81</v>
      </c>
      <c r="B136" s="9" t="s">
        <v>81</v>
      </c>
      <c r="C136" s="4">
        <v>201004463</v>
      </c>
      <c r="D136" s="4"/>
      <c r="E136" s="4" t="str">
        <f>"089582010"</f>
        <v>089582010</v>
      </c>
      <c r="F136" s="10">
        <v>40367</v>
      </c>
      <c r="G136" s="11">
        <v>2869.14</v>
      </c>
      <c r="H136" s="11">
        <v>2869.14</v>
      </c>
      <c r="I136" s="4" t="s">
        <v>366</v>
      </c>
      <c r="J136" s="4" t="s">
        <v>367</v>
      </c>
      <c r="K136" s="11">
        <v>0</v>
      </c>
      <c r="L136" s="4"/>
      <c r="M136" s="4"/>
      <c r="N136" s="11">
        <v>0</v>
      </c>
      <c r="O136" s="4"/>
      <c r="P136" s="4"/>
      <c r="Q136" s="11">
        <v>0</v>
      </c>
      <c r="R136" s="4"/>
      <c r="S136" s="12"/>
    </row>
    <row r="137" spans="1:19" x14ac:dyDescent="0.25">
      <c r="A137" s="9" t="s">
        <v>81</v>
      </c>
      <c r="B137" s="9" t="s">
        <v>552</v>
      </c>
      <c r="C137" s="4">
        <v>201004530</v>
      </c>
      <c r="D137" s="4" t="s">
        <v>1761</v>
      </c>
      <c r="E137" s="4" t="str">
        <f>"090382010"</f>
        <v>090382010</v>
      </c>
      <c r="F137" s="10">
        <v>40367</v>
      </c>
      <c r="G137" s="11">
        <v>5507.22</v>
      </c>
      <c r="H137" s="11">
        <v>5507.22</v>
      </c>
      <c r="I137" s="4" t="s">
        <v>54</v>
      </c>
      <c r="J137" s="4" t="s">
        <v>55</v>
      </c>
      <c r="K137" s="11">
        <v>0</v>
      </c>
      <c r="L137" s="4"/>
      <c r="M137" s="4"/>
      <c r="N137" s="11">
        <v>0</v>
      </c>
      <c r="O137" s="4"/>
      <c r="P137" s="4"/>
      <c r="Q137" s="11">
        <v>0</v>
      </c>
      <c r="R137" s="4"/>
      <c r="S137" s="12"/>
    </row>
    <row r="138" spans="1:19" x14ac:dyDescent="0.25">
      <c r="A138" s="9" t="s">
        <v>81</v>
      </c>
      <c r="B138" s="9" t="s">
        <v>81</v>
      </c>
      <c r="C138" s="4">
        <v>201004583</v>
      </c>
      <c r="D138" s="4" t="s">
        <v>1762</v>
      </c>
      <c r="E138" s="4" t="str">
        <f>"094122010"</f>
        <v>094122010</v>
      </c>
      <c r="F138" s="10">
        <v>40379</v>
      </c>
      <c r="G138" s="11">
        <v>6135</v>
      </c>
      <c r="H138" s="11">
        <v>6135</v>
      </c>
      <c r="I138" s="4" t="s">
        <v>366</v>
      </c>
      <c r="J138" s="4" t="s">
        <v>367</v>
      </c>
      <c r="K138" s="11">
        <v>0</v>
      </c>
      <c r="L138" s="4"/>
      <c r="M138" s="4"/>
      <c r="N138" s="11">
        <v>0</v>
      </c>
      <c r="O138" s="4"/>
      <c r="P138" s="4"/>
      <c r="Q138" s="11">
        <v>0</v>
      </c>
      <c r="R138" s="4"/>
      <c r="S138" s="12"/>
    </row>
    <row r="139" spans="1:19" x14ac:dyDescent="0.25">
      <c r="A139" s="9" t="s">
        <v>81</v>
      </c>
      <c r="B139" s="9" t="s">
        <v>81</v>
      </c>
      <c r="C139" s="4">
        <v>201004645</v>
      </c>
      <c r="D139" s="4"/>
      <c r="E139" s="4" t="str">
        <f>"092402010"</f>
        <v>092402010</v>
      </c>
      <c r="F139" s="10">
        <v>40373</v>
      </c>
      <c r="G139" s="11">
        <v>4002.27</v>
      </c>
      <c r="H139" s="11">
        <v>4002.27</v>
      </c>
      <c r="I139" s="4" t="s">
        <v>366</v>
      </c>
      <c r="J139" s="4" t="s">
        <v>367</v>
      </c>
      <c r="K139" s="11">
        <v>0</v>
      </c>
      <c r="L139" s="4"/>
      <c r="M139" s="4"/>
      <c r="N139" s="11">
        <v>0</v>
      </c>
      <c r="O139" s="4"/>
      <c r="P139" s="4"/>
      <c r="Q139" s="11">
        <v>0</v>
      </c>
      <c r="R139" s="4"/>
      <c r="S139" s="12"/>
    </row>
    <row r="140" spans="1:19" x14ac:dyDescent="0.25">
      <c r="A140" s="9" t="s">
        <v>81</v>
      </c>
      <c r="B140" s="9" t="s">
        <v>552</v>
      </c>
      <c r="C140" s="4">
        <v>201004866</v>
      </c>
      <c r="D140" s="4"/>
      <c r="E140" s="4" t="str">
        <f>"096792010"</f>
        <v>096792010</v>
      </c>
      <c r="F140" s="10">
        <v>40394</v>
      </c>
      <c r="G140" s="11">
        <v>10767.75</v>
      </c>
      <c r="H140" s="11">
        <v>10767.75</v>
      </c>
      <c r="I140" s="4" t="s">
        <v>366</v>
      </c>
      <c r="J140" s="4" t="s">
        <v>367</v>
      </c>
      <c r="K140" s="11">
        <v>0</v>
      </c>
      <c r="L140" s="4"/>
      <c r="M140" s="4"/>
      <c r="N140" s="11">
        <v>0</v>
      </c>
      <c r="O140" s="4"/>
      <c r="P140" s="4"/>
      <c r="Q140" s="11">
        <v>0</v>
      </c>
      <c r="R140" s="4"/>
      <c r="S140" s="12"/>
    </row>
    <row r="141" spans="1:19" x14ac:dyDescent="0.25">
      <c r="A141" s="9" t="s">
        <v>81</v>
      </c>
      <c r="B141" s="9" t="s">
        <v>81</v>
      </c>
      <c r="C141" s="4">
        <v>201005215</v>
      </c>
      <c r="D141" s="4"/>
      <c r="E141" s="4" t="str">
        <f>"104852010"</f>
        <v>104852010</v>
      </c>
      <c r="F141" s="10">
        <v>40415</v>
      </c>
      <c r="G141" s="11">
        <v>12874.32</v>
      </c>
      <c r="H141" s="11">
        <v>12874.32</v>
      </c>
      <c r="I141" s="4" t="s">
        <v>366</v>
      </c>
      <c r="J141" s="4" t="s">
        <v>367</v>
      </c>
      <c r="K141" s="11">
        <v>0</v>
      </c>
      <c r="L141" s="4"/>
      <c r="M141" s="4"/>
      <c r="N141" s="11">
        <v>0</v>
      </c>
      <c r="O141" s="4"/>
      <c r="P141" s="4"/>
      <c r="Q141" s="11">
        <v>0</v>
      </c>
      <c r="R141" s="4"/>
      <c r="S141" s="12"/>
    </row>
    <row r="142" spans="1:19" x14ac:dyDescent="0.25">
      <c r="A142" s="9" t="s">
        <v>81</v>
      </c>
      <c r="B142" s="9" t="s">
        <v>81</v>
      </c>
      <c r="C142" s="4">
        <v>201005322</v>
      </c>
      <c r="D142" s="4" t="s">
        <v>1763</v>
      </c>
      <c r="E142" s="4" t="str">
        <f>"112722010"</f>
        <v>112722010</v>
      </c>
      <c r="F142" s="10">
        <v>40443</v>
      </c>
      <c r="G142" s="11">
        <v>25000</v>
      </c>
      <c r="H142" s="11">
        <v>25000</v>
      </c>
      <c r="I142" s="4" t="s">
        <v>366</v>
      </c>
      <c r="J142" s="4" t="s">
        <v>367</v>
      </c>
      <c r="K142" s="11">
        <v>0</v>
      </c>
      <c r="L142" s="4"/>
      <c r="M142" s="4"/>
      <c r="N142" s="11">
        <v>0</v>
      </c>
      <c r="O142" s="4"/>
      <c r="P142" s="4"/>
      <c r="Q142" s="11">
        <v>0</v>
      </c>
      <c r="R142" s="4"/>
      <c r="S142" s="12"/>
    </row>
    <row r="143" spans="1:19" x14ac:dyDescent="0.25">
      <c r="A143" s="9" t="s">
        <v>87</v>
      </c>
      <c r="B143" s="9" t="s">
        <v>552</v>
      </c>
      <c r="C143" s="4">
        <v>201000273</v>
      </c>
      <c r="D143" s="4"/>
      <c r="E143" s="4" t="str">
        <f>"004532010"</f>
        <v>004532010</v>
      </c>
      <c r="F143" s="10">
        <v>40106</v>
      </c>
      <c r="G143" s="11">
        <v>6745.67</v>
      </c>
      <c r="H143" s="11">
        <v>6745.67</v>
      </c>
      <c r="I143" s="4" t="s">
        <v>366</v>
      </c>
      <c r="J143" s="4" t="s">
        <v>367</v>
      </c>
      <c r="K143" s="11">
        <v>0</v>
      </c>
      <c r="L143" s="4"/>
      <c r="M143" s="4"/>
      <c r="N143" s="11">
        <v>0</v>
      </c>
      <c r="O143" s="4"/>
      <c r="P143" s="4"/>
      <c r="Q143" s="11">
        <v>0</v>
      </c>
      <c r="R143" s="4"/>
      <c r="S143" s="12"/>
    </row>
    <row r="144" spans="1:19" x14ac:dyDescent="0.25">
      <c r="A144" s="9" t="s">
        <v>87</v>
      </c>
      <c r="B144" s="9" t="s">
        <v>552</v>
      </c>
      <c r="C144" s="4">
        <v>201000527</v>
      </c>
      <c r="D144" s="4" t="s">
        <v>1764</v>
      </c>
      <c r="E144" s="4" t="str">
        <f>"009972010"</f>
        <v>009972010</v>
      </c>
      <c r="F144" s="10">
        <v>40123</v>
      </c>
      <c r="G144" s="11">
        <v>3000</v>
      </c>
      <c r="H144" s="11">
        <v>3000</v>
      </c>
      <c r="I144" s="4" t="s">
        <v>366</v>
      </c>
      <c r="J144" s="4" t="s">
        <v>367</v>
      </c>
      <c r="K144" s="11">
        <v>0</v>
      </c>
      <c r="L144" s="4"/>
      <c r="M144" s="4"/>
      <c r="N144" s="11">
        <v>0</v>
      </c>
      <c r="O144" s="4"/>
      <c r="P144" s="4"/>
      <c r="Q144" s="11">
        <v>0</v>
      </c>
      <c r="R144" s="4"/>
      <c r="S144" s="12"/>
    </row>
    <row r="145" spans="1:19" x14ac:dyDescent="0.25">
      <c r="A145" s="9" t="s">
        <v>87</v>
      </c>
      <c r="B145" s="9" t="s">
        <v>552</v>
      </c>
      <c r="C145" s="4">
        <v>201000566</v>
      </c>
      <c r="D145" s="4"/>
      <c r="E145" s="4" t="str">
        <f>"010672010"</f>
        <v>010672010</v>
      </c>
      <c r="F145" s="10">
        <v>40127</v>
      </c>
      <c r="G145" s="11">
        <v>2982</v>
      </c>
      <c r="H145" s="11">
        <v>2982</v>
      </c>
      <c r="I145" s="4" t="s">
        <v>366</v>
      </c>
      <c r="J145" s="4" t="s">
        <v>367</v>
      </c>
      <c r="K145" s="11">
        <v>0</v>
      </c>
      <c r="L145" s="4"/>
      <c r="M145" s="4"/>
      <c r="N145" s="11">
        <v>0</v>
      </c>
      <c r="O145" s="4"/>
      <c r="P145" s="4"/>
      <c r="Q145" s="11">
        <v>0</v>
      </c>
      <c r="R145" s="4"/>
      <c r="S145" s="12"/>
    </row>
    <row r="146" spans="1:19" x14ac:dyDescent="0.25">
      <c r="A146" s="9" t="s">
        <v>87</v>
      </c>
      <c r="B146" s="9" t="s">
        <v>87</v>
      </c>
      <c r="C146" s="4">
        <v>201000787</v>
      </c>
      <c r="D146" s="4" t="s">
        <v>1765</v>
      </c>
      <c r="E146" s="4" t="str">
        <f>"019642010"</f>
        <v>019642010</v>
      </c>
      <c r="F146" s="10">
        <v>40156</v>
      </c>
      <c r="G146" s="11">
        <v>20000</v>
      </c>
      <c r="H146" s="11">
        <v>20000</v>
      </c>
      <c r="I146" s="4" t="s">
        <v>366</v>
      </c>
      <c r="J146" s="4" t="s">
        <v>367</v>
      </c>
      <c r="K146" s="11">
        <v>0</v>
      </c>
      <c r="L146" s="4"/>
      <c r="M146" s="4"/>
      <c r="N146" s="11">
        <v>0</v>
      </c>
      <c r="O146" s="4"/>
      <c r="P146" s="4"/>
      <c r="Q146" s="11">
        <v>0</v>
      </c>
      <c r="R146" s="4"/>
      <c r="S146" s="12"/>
    </row>
    <row r="147" spans="1:19" x14ac:dyDescent="0.25">
      <c r="A147" s="9" t="s">
        <v>87</v>
      </c>
      <c r="B147" s="9" t="s">
        <v>87</v>
      </c>
      <c r="C147" s="4">
        <v>201001297</v>
      </c>
      <c r="D147" s="4"/>
      <c r="E147" s="4" t="str">
        <f>"025012010"</f>
        <v>025012010</v>
      </c>
      <c r="F147" s="10">
        <v>40177</v>
      </c>
      <c r="G147" s="11">
        <v>2582.3200000000002</v>
      </c>
      <c r="H147" s="11">
        <v>2582.3200000000002</v>
      </c>
      <c r="I147" s="4" t="s">
        <v>366</v>
      </c>
      <c r="J147" s="4" t="s">
        <v>367</v>
      </c>
      <c r="K147" s="11">
        <v>0</v>
      </c>
      <c r="L147" s="4"/>
      <c r="M147" s="4"/>
      <c r="N147" s="11">
        <v>0</v>
      </c>
      <c r="O147" s="4"/>
      <c r="P147" s="4"/>
      <c r="Q147" s="11">
        <v>0</v>
      </c>
      <c r="R147" s="4"/>
      <c r="S147" s="12"/>
    </row>
    <row r="148" spans="1:19" x14ac:dyDescent="0.25">
      <c r="A148" s="9" t="s">
        <v>87</v>
      </c>
      <c r="B148" s="9" t="s">
        <v>552</v>
      </c>
      <c r="C148" s="4">
        <v>201002387</v>
      </c>
      <c r="D148" s="4"/>
      <c r="E148" s="4" t="str">
        <f>"047082010"</f>
        <v>047082010</v>
      </c>
      <c r="F148" s="10">
        <v>40252</v>
      </c>
      <c r="G148" s="11">
        <v>25000</v>
      </c>
      <c r="H148" s="11">
        <v>25000</v>
      </c>
      <c r="I148" s="4" t="s">
        <v>54</v>
      </c>
      <c r="J148" s="4" t="s">
        <v>55</v>
      </c>
      <c r="K148" s="11">
        <v>0</v>
      </c>
      <c r="L148" s="4"/>
      <c r="M148" s="4"/>
      <c r="N148" s="11">
        <v>0</v>
      </c>
      <c r="O148" s="4"/>
      <c r="P148" s="4"/>
      <c r="Q148" s="11">
        <v>0</v>
      </c>
      <c r="R148" s="4"/>
      <c r="S148" s="12"/>
    </row>
    <row r="149" spans="1:19" x14ac:dyDescent="0.25">
      <c r="A149" s="9" t="s">
        <v>87</v>
      </c>
      <c r="B149" s="9" t="s">
        <v>87</v>
      </c>
      <c r="C149" s="4">
        <v>201003121</v>
      </c>
      <c r="D149" s="4"/>
      <c r="E149" s="4" t="str">
        <f>"065312010"</f>
        <v>065312010</v>
      </c>
      <c r="F149" s="10">
        <v>40304</v>
      </c>
      <c r="G149" s="11">
        <v>6454.41</v>
      </c>
      <c r="H149" s="11">
        <v>6454.41</v>
      </c>
      <c r="I149" s="4" t="s">
        <v>366</v>
      </c>
      <c r="J149" s="4" t="s">
        <v>367</v>
      </c>
      <c r="K149" s="11">
        <v>0</v>
      </c>
      <c r="L149" s="4"/>
      <c r="M149" s="4"/>
      <c r="N149" s="11">
        <v>0</v>
      </c>
      <c r="O149" s="4"/>
      <c r="P149" s="4"/>
      <c r="Q149" s="11">
        <v>0</v>
      </c>
      <c r="R149" s="4"/>
      <c r="S149" s="12"/>
    </row>
    <row r="150" spans="1:19" x14ac:dyDescent="0.25">
      <c r="A150" s="9" t="s">
        <v>87</v>
      </c>
      <c r="B150" s="9" t="s">
        <v>87</v>
      </c>
      <c r="C150" s="4">
        <v>201004371</v>
      </c>
      <c r="D150" s="4"/>
      <c r="E150" s="4" t="str">
        <f>"087442010"</f>
        <v>087442010</v>
      </c>
      <c r="F150" s="10">
        <v>40358</v>
      </c>
      <c r="G150" s="11">
        <v>4861.71</v>
      </c>
      <c r="H150" s="11">
        <v>4861.71</v>
      </c>
      <c r="I150" s="4" t="s">
        <v>366</v>
      </c>
      <c r="J150" s="4" t="s">
        <v>367</v>
      </c>
      <c r="K150" s="11">
        <v>0</v>
      </c>
      <c r="L150" s="4"/>
      <c r="M150" s="4"/>
      <c r="N150" s="11">
        <v>0</v>
      </c>
      <c r="O150" s="4"/>
      <c r="P150" s="4"/>
      <c r="Q150" s="11">
        <v>0</v>
      </c>
      <c r="R150" s="4"/>
      <c r="S150" s="12"/>
    </row>
    <row r="151" spans="1:19" x14ac:dyDescent="0.25">
      <c r="A151" s="9" t="s">
        <v>93</v>
      </c>
      <c r="B151" s="9" t="s">
        <v>93</v>
      </c>
      <c r="C151" s="4">
        <v>200905777</v>
      </c>
      <c r="D151" s="4"/>
      <c r="E151" s="4" t="str">
        <f>"087892009"</f>
        <v>087892009</v>
      </c>
      <c r="F151" s="10">
        <v>40094</v>
      </c>
      <c r="G151" s="11">
        <v>12.87</v>
      </c>
      <c r="H151" s="11">
        <v>12.87</v>
      </c>
      <c r="I151" s="4" t="s">
        <v>1766</v>
      </c>
      <c r="J151" s="4" t="s">
        <v>1767</v>
      </c>
      <c r="K151" s="11">
        <v>0</v>
      </c>
      <c r="L151" s="4"/>
      <c r="M151" s="4"/>
      <c r="N151" s="11">
        <v>0</v>
      </c>
      <c r="O151" s="4"/>
      <c r="P151" s="4"/>
      <c r="Q151" s="11">
        <v>0</v>
      </c>
      <c r="R151" s="4"/>
      <c r="S151" s="12"/>
    </row>
    <row r="152" spans="1:19" x14ac:dyDescent="0.25">
      <c r="A152" s="9" t="s">
        <v>93</v>
      </c>
      <c r="B152" s="9" t="s">
        <v>93</v>
      </c>
      <c r="C152" s="4">
        <v>200905909</v>
      </c>
      <c r="D152" s="4"/>
      <c r="E152" s="4" t="str">
        <f>"087622009"</f>
        <v>087622009</v>
      </c>
      <c r="F152" s="10">
        <v>40094</v>
      </c>
      <c r="G152" s="11">
        <v>12.87</v>
      </c>
      <c r="H152" s="11">
        <v>12.87</v>
      </c>
      <c r="I152" s="4" t="s">
        <v>1766</v>
      </c>
      <c r="J152" s="4" t="s">
        <v>1767</v>
      </c>
      <c r="K152" s="11">
        <v>0</v>
      </c>
      <c r="L152" s="4"/>
      <c r="M152" s="4"/>
      <c r="N152" s="11">
        <v>0</v>
      </c>
      <c r="O152" s="4"/>
      <c r="P152" s="4"/>
      <c r="Q152" s="11">
        <v>0</v>
      </c>
      <c r="R152" s="4"/>
      <c r="S152" s="12"/>
    </row>
    <row r="153" spans="1:19" x14ac:dyDescent="0.25">
      <c r="A153" s="9" t="s">
        <v>93</v>
      </c>
      <c r="B153" s="9" t="s">
        <v>93</v>
      </c>
      <c r="C153" s="4">
        <v>201000015</v>
      </c>
      <c r="D153" s="4"/>
      <c r="E153" s="4" t="str">
        <f>"000262010"</f>
        <v>000262010</v>
      </c>
      <c r="F153" s="10">
        <v>40094</v>
      </c>
      <c r="G153" s="11">
        <v>18.579999999999998</v>
      </c>
      <c r="H153" s="11">
        <v>18.579999999999998</v>
      </c>
      <c r="I153" s="4" t="s">
        <v>1766</v>
      </c>
      <c r="J153" s="4" t="s">
        <v>1767</v>
      </c>
      <c r="K153" s="11">
        <v>0</v>
      </c>
      <c r="L153" s="4"/>
      <c r="M153" s="4"/>
      <c r="N153" s="11">
        <v>0</v>
      </c>
      <c r="O153" s="4"/>
      <c r="P153" s="4"/>
      <c r="Q153" s="11">
        <v>0</v>
      </c>
      <c r="R153" s="4"/>
      <c r="S153" s="12"/>
    </row>
    <row r="154" spans="1:19" x14ac:dyDescent="0.25">
      <c r="A154" s="9" t="s">
        <v>93</v>
      </c>
      <c r="B154" s="9" t="s">
        <v>93</v>
      </c>
      <c r="C154" s="4">
        <v>201000021</v>
      </c>
      <c r="D154" s="4"/>
      <c r="E154" s="4" t="str">
        <f>"000642010"</f>
        <v>000642010</v>
      </c>
      <c r="F154" s="10">
        <v>40094</v>
      </c>
      <c r="G154" s="11">
        <v>146.44999999999999</v>
      </c>
      <c r="H154" s="11">
        <v>146.44999999999999</v>
      </c>
      <c r="I154" s="4" t="s">
        <v>1766</v>
      </c>
      <c r="J154" s="4" t="s">
        <v>1767</v>
      </c>
      <c r="K154" s="11">
        <v>0</v>
      </c>
      <c r="L154" s="4"/>
      <c r="M154" s="4"/>
      <c r="N154" s="11">
        <v>0</v>
      </c>
      <c r="O154" s="4"/>
      <c r="P154" s="4"/>
      <c r="Q154" s="11">
        <v>0</v>
      </c>
      <c r="R154" s="4"/>
      <c r="S154" s="12"/>
    </row>
    <row r="155" spans="1:19" x14ac:dyDescent="0.25">
      <c r="A155" s="9" t="s">
        <v>93</v>
      </c>
      <c r="B155" s="9" t="s">
        <v>93</v>
      </c>
      <c r="C155" s="4">
        <v>201000045</v>
      </c>
      <c r="D155" s="4"/>
      <c r="E155" s="4" t="str">
        <f>"000802010"</f>
        <v>000802010</v>
      </c>
      <c r="F155" s="10">
        <v>40094</v>
      </c>
      <c r="G155" s="11">
        <v>36.1</v>
      </c>
      <c r="H155" s="11">
        <v>36.1</v>
      </c>
      <c r="I155" s="4" t="s">
        <v>1766</v>
      </c>
      <c r="J155" s="4" t="s">
        <v>1767</v>
      </c>
      <c r="K155" s="11">
        <v>0</v>
      </c>
      <c r="L155" s="4"/>
      <c r="M155" s="4"/>
      <c r="N155" s="11">
        <v>0</v>
      </c>
      <c r="O155" s="4"/>
      <c r="P155" s="4"/>
      <c r="Q155" s="11">
        <v>0</v>
      </c>
      <c r="R155" s="4"/>
      <c r="S155" s="12"/>
    </row>
    <row r="156" spans="1:19" x14ac:dyDescent="0.25">
      <c r="A156" s="9" t="s">
        <v>93</v>
      </c>
      <c r="B156" s="9" t="s">
        <v>93</v>
      </c>
      <c r="C156" s="4">
        <v>201000100</v>
      </c>
      <c r="D156" s="4"/>
      <c r="E156" s="4" t="str">
        <f>"001742010"</f>
        <v>001742010</v>
      </c>
      <c r="F156" s="10">
        <v>40094</v>
      </c>
      <c r="G156" s="11">
        <v>54.99</v>
      </c>
      <c r="H156" s="11">
        <v>54.99</v>
      </c>
      <c r="I156" s="4" t="s">
        <v>1766</v>
      </c>
      <c r="J156" s="4" t="s">
        <v>1767</v>
      </c>
      <c r="K156" s="11">
        <v>0</v>
      </c>
      <c r="L156" s="4"/>
      <c r="M156" s="4"/>
      <c r="N156" s="11">
        <v>0</v>
      </c>
      <c r="O156" s="4"/>
      <c r="P156" s="4"/>
      <c r="Q156" s="11">
        <v>0</v>
      </c>
      <c r="R156" s="4"/>
      <c r="S156" s="12"/>
    </row>
    <row r="157" spans="1:19" x14ac:dyDescent="0.25">
      <c r="A157" s="9" t="s">
        <v>93</v>
      </c>
      <c r="B157" s="9" t="s">
        <v>93</v>
      </c>
      <c r="C157" s="4">
        <v>201000124</v>
      </c>
      <c r="D157" s="4"/>
      <c r="E157" s="4" t="str">
        <f>"002042010"</f>
        <v>002042010</v>
      </c>
      <c r="F157" s="10">
        <v>40095</v>
      </c>
      <c r="G157" s="11">
        <v>500</v>
      </c>
      <c r="H157" s="11">
        <v>500</v>
      </c>
      <c r="I157" s="4" t="s">
        <v>1766</v>
      </c>
      <c r="J157" s="4" t="s">
        <v>1767</v>
      </c>
      <c r="K157" s="11">
        <v>0</v>
      </c>
      <c r="L157" s="4"/>
      <c r="M157" s="4"/>
      <c r="N157" s="11">
        <v>0</v>
      </c>
      <c r="O157" s="4"/>
      <c r="P157" s="4"/>
      <c r="Q157" s="11">
        <v>0</v>
      </c>
      <c r="R157" s="4"/>
      <c r="S157" s="12"/>
    </row>
    <row r="158" spans="1:19" x14ac:dyDescent="0.25">
      <c r="A158" s="9" t="s">
        <v>93</v>
      </c>
      <c r="B158" s="9" t="s">
        <v>93</v>
      </c>
      <c r="C158" s="4">
        <v>201000154</v>
      </c>
      <c r="D158" s="4"/>
      <c r="E158" s="4" t="str">
        <f>"002722010"</f>
        <v>002722010</v>
      </c>
      <c r="F158" s="10">
        <v>40100</v>
      </c>
      <c r="G158" s="11">
        <v>62.96</v>
      </c>
      <c r="H158" s="11">
        <v>62.96</v>
      </c>
      <c r="I158" s="4" t="s">
        <v>1766</v>
      </c>
      <c r="J158" s="4" t="s">
        <v>1767</v>
      </c>
      <c r="K158" s="11">
        <v>0</v>
      </c>
      <c r="L158" s="4"/>
      <c r="M158" s="4"/>
      <c r="N158" s="11">
        <v>0</v>
      </c>
      <c r="O158" s="4"/>
      <c r="P158" s="4"/>
      <c r="Q158" s="11">
        <v>0</v>
      </c>
      <c r="R158" s="4"/>
      <c r="S158" s="12"/>
    </row>
    <row r="159" spans="1:19" x14ac:dyDescent="0.25">
      <c r="A159" s="9" t="s">
        <v>93</v>
      </c>
      <c r="B159" s="9" t="s">
        <v>93</v>
      </c>
      <c r="C159" s="4">
        <v>201000218</v>
      </c>
      <c r="D159" s="4"/>
      <c r="E159" s="4" t="str">
        <f>"003922010"</f>
        <v>003922010</v>
      </c>
      <c r="F159" s="10">
        <v>40105</v>
      </c>
      <c r="G159" s="11">
        <v>8</v>
      </c>
      <c r="H159" s="11">
        <v>8</v>
      </c>
      <c r="I159" s="4" t="s">
        <v>1766</v>
      </c>
      <c r="J159" s="4" t="s">
        <v>1767</v>
      </c>
      <c r="K159" s="11">
        <v>0</v>
      </c>
      <c r="L159" s="4"/>
      <c r="M159" s="4"/>
      <c r="N159" s="11">
        <v>0</v>
      </c>
      <c r="O159" s="4"/>
      <c r="P159" s="4"/>
      <c r="Q159" s="11">
        <v>0</v>
      </c>
      <c r="R159" s="4"/>
      <c r="S159" s="12"/>
    </row>
    <row r="160" spans="1:19" x14ac:dyDescent="0.25">
      <c r="A160" s="9" t="s">
        <v>93</v>
      </c>
      <c r="B160" s="9" t="s">
        <v>93</v>
      </c>
      <c r="C160" s="4">
        <v>201000257</v>
      </c>
      <c r="D160" s="4"/>
      <c r="E160" s="4" t="str">
        <f>"004372010"</f>
        <v>004372010</v>
      </c>
      <c r="F160" s="10">
        <v>40105</v>
      </c>
      <c r="G160" s="11">
        <v>0</v>
      </c>
      <c r="H160" s="11">
        <v>16.47</v>
      </c>
      <c r="I160" s="4" t="s">
        <v>1766</v>
      </c>
      <c r="J160" s="4" t="s">
        <v>1767</v>
      </c>
      <c r="K160" s="11">
        <v>0</v>
      </c>
      <c r="L160" s="4"/>
      <c r="M160" s="4"/>
      <c r="N160" s="11">
        <v>0</v>
      </c>
      <c r="O160" s="4"/>
      <c r="P160" s="4"/>
      <c r="Q160" s="11">
        <v>0</v>
      </c>
      <c r="R160" s="4"/>
      <c r="S160" s="12"/>
    </row>
    <row r="161" spans="1:19" x14ac:dyDescent="0.25">
      <c r="A161" s="9" t="s">
        <v>93</v>
      </c>
      <c r="B161" s="9" t="s">
        <v>93</v>
      </c>
      <c r="C161" s="4">
        <v>201000368</v>
      </c>
      <c r="D161" s="4"/>
      <c r="E161" s="4" t="str">
        <f>"006912010"</f>
        <v>006912010</v>
      </c>
      <c r="F161" s="10">
        <v>40115</v>
      </c>
      <c r="G161" s="11">
        <v>35.75</v>
      </c>
      <c r="H161" s="11">
        <v>35.75</v>
      </c>
      <c r="I161" s="4" t="s">
        <v>1766</v>
      </c>
      <c r="J161" s="4" t="s">
        <v>1767</v>
      </c>
      <c r="K161" s="11">
        <v>0</v>
      </c>
      <c r="L161" s="4"/>
      <c r="M161" s="4"/>
      <c r="N161" s="11">
        <v>0</v>
      </c>
      <c r="O161" s="4"/>
      <c r="P161" s="4"/>
      <c r="Q161" s="11">
        <v>0</v>
      </c>
      <c r="R161" s="4"/>
      <c r="S161" s="12"/>
    </row>
    <row r="162" spans="1:19" x14ac:dyDescent="0.25">
      <c r="A162" s="9" t="s">
        <v>93</v>
      </c>
      <c r="B162" s="9" t="s">
        <v>93</v>
      </c>
      <c r="C162" s="4">
        <v>201000386</v>
      </c>
      <c r="D162" s="4"/>
      <c r="E162" s="4" t="str">
        <f>"007252010"</f>
        <v>007252010</v>
      </c>
      <c r="F162" s="10">
        <v>40115</v>
      </c>
      <c r="G162" s="11">
        <v>39.270000000000003</v>
      </c>
      <c r="H162" s="11">
        <v>39.270000000000003</v>
      </c>
      <c r="I162" s="4" t="s">
        <v>1766</v>
      </c>
      <c r="J162" s="4" t="s">
        <v>1767</v>
      </c>
      <c r="K162" s="11">
        <v>0</v>
      </c>
      <c r="L162" s="4"/>
      <c r="M162" s="4"/>
      <c r="N162" s="11">
        <v>0</v>
      </c>
      <c r="O162" s="4"/>
      <c r="P162" s="4"/>
      <c r="Q162" s="11">
        <v>0</v>
      </c>
      <c r="R162" s="4"/>
      <c r="S162" s="12"/>
    </row>
    <row r="163" spans="1:19" x14ac:dyDescent="0.25">
      <c r="A163" s="9" t="s">
        <v>93</v>
      </c>
      <c r="B163" s="9" t="s">
        <v>93</v>
      </c>
      <c r="C163" s="4">
        <v>201000410</v>
      </c>
      <c r="D163" s="4"/>
      <c r="E163" s="4" t="str">
        <f>"007472010"</f>
        <v>007472010</v>
      </c>
      <c r="F163" s="10">
        <v>40121</v>
      </c>
      <c r="G163" s="11">
        <v>145.35</v>
      </c>
      <c r="H163" s="11">
        <v>145.35</v>
      </c>
      <c r="I163" s="4" t="s">
        <v>1766</v>
      </c>
      <c r="J163" s="4" t="s">
        <v>1767</v>
      </c>
      <c r="K163" s="11">
        <v>0</v>
      </c>
      <c r="L163" s="4"/>
      <c r="M163" s="4"/>
      <c r="N163" s="11">
        <v>0</v>
      </c>
      <c r="O163" s="4"/>
      <c r="P163" s="4"/>
      <c r="Q163" s="11">
        <v>0</v>
      </c>
      <c r="R163" s="4"/>
      <c r="S163" s="12"/>
    </row>
    <row r="164" spans="1:19" x14ac:dyDescent="0.25">
      <c r="A164" s="9" t="s">
        <v>93</v>
      </c>
      <c r="B164" s="9" t="s">
        <v>93</v>
      </c>
      <c r="C164" s="4">
        <v>201000416</v>
      </c>
      <c r="D164" s="4"/>
      <c r="E164" s="4" t="str">
        <f>"007492010"</f>
        <v>007492010</v>
      </c>
      <c r="F164" s="10">
        <v>40121</v>
      </c>
      <c r="G164" s="11">
        <v>75</v>
      </c>
      <c r="H164" s="11">
        <v>75</v>
      </c>
      <c r="I164" s="4" t="s">
        <v>1766</v>
      </c>
      <c r="J164" s="4" t="s">
        <v>1767</v>
      </c>
      <c r="K164" s="11">
        <v>0</v>
      </c>
      <c r="L164" s="4"/>
      <c r="M164" s="4"/>
      <c r="N164" s="11">
        <v>0</v>
      </c>
      <c r="O164" s="4"/>
      <c r="P164" s="4"/>
      <c r="Q164" s="11">
        <v>0</v>
      </c>
      <c r="R164" s="4"/>
      <c r="S164" s="12"/>
    </row>
    <row r="165" spans="1:19" x14ac:dyDescent="0.25">
      <c r="A165" s="9" t="s">
        <v>93</v>
      </c>
      <c r="B165" s="9" t="s">
        <v>93</v>
      </c>
      <c r="C165" s="4">
        <v>201000447</v>
      </c>
      <c r="D165" s="4"/>
      <c r="E165" s="4" t="str">
        <f>"008152010"</f>
        <v>008152010</v>
      </c>
      <c r="F165" s="10">
        <v>40121</v>
      </c>
      <c r="G165" s="11">
        <v>71.709999999999994</v>
      </c>
      <c r="H165" s="11">
        <v>71.709999999999994</v>
      </c>
      <c r="I165" s="4" t="s">
        <v>1766</v>
      </c>
      <c r="J165" s="4" t="s">
        <v>1767</v>
      </c>
      <c r="K165" s="11">
        <v>0</v>
      </c>
      <c r="L165" s="4"/>
      <c r="M165" s="4"/>
      <c r="N165" s="11">
        <v>0</v>
      </c>
      <c r="O165" s="4"/>
      <c r="P165" s="4"/>
      <c r="Q165" s="11">
        <v>0</v>
      </c>
      <c r="R165" s="4"/>
      <c r="S165" s="12"/>
    </row>
    <row r="166" spans="1:19" x14ac:dyDescent="0.25">
      <c r="A166" s="9" t="s">
        <v>93</v>
      </c>
      <c r="B166" s="9" t="s">
        <v>93</v>
      </c>
      <c r="C166" s="4">
        <v>201000459</v>
      </c>
      <c r="D166" s="4"/>
      <c r="E166" s="4" t="str">
        <f>"008752010"</f>
        <v>008752010</v>
      </c>
      <c r="F166" s="10">
        <v>40121</v>
      </c>
      <c r="G166" s="11">
        <v>22500</v>
      </c>
      <c r="H166" s="11">
        <v>22500</v>
      </c>
      <c r="I166" s="4" t="s">
        <v>687</v>
      </c>
      <c r="J166" s="4" t="s">
        <v>688</v>
      </c>
      <c r="K166" s="11">
        <v>0</v>
      </c>
      <c r="L166" s="4"/>
      <c r="M166" s="4"/>
      <c r="N166" s="11">
        <v>0</v>
      </c>
      <c r="O166" s="4"/>
      <c r="P166" s="4"/>
      <c r="Q166" s="11">
        <v>0</v>
      </c>
      <c r="R166" s="4"/>
      <c r="S166" s="12"/>
    </row>
    <row r="167" spans="1:19" x14ac:dyDescent="0.25">
      <c r="A167" s="9" t="s">
        <v>93</v>
      </c>
      <c r="B167" s="9" t="s">
        <v>93</v>
      </c>
      <c r="C167" s="4">
        <v>201000507</v>
      </c>
      <c r="D167" s="4"/>
      <c r="E167" s="4" t="str">
        <f>"009052010"</f>
        <v>009052010</v>
      </c>
      <c r="F167" s="10">
        <v>40122</v>
      </c>
      <c r="G167" s="11">
        <v>59.25</v>
      </c>
      <c r="H167" s="11">
        <v>59.25</v>
      </c>
      <c r="I167" s="4" t="s">
        <v>1766</v>
      </c>
      <c r="J167" s="4" t="s">
        <v>1767</v>
      </c>
      <c r="K167" s="11">
        <v>0</v>
      </c>
      <c r="L167" s="4"/>
      <c r="M167" s="4"/>
      <c r="N167" s="11">
        <v>0</v>
      </c>
      <c r="O167" s="4"/>
      <c r="P167" s="4"/>
      <c r="Q167" s="11">
        <v>0</v>
      </c>
      <c r="R167" s="4"/>
      <c r="S167" s="12"/>
    </row>
    <row r="168" spans="1:19" x14ac:dyDescent="0.25">
      <c r="A168" s="9" t="s">
        <v>93</v>
      </c>
      <c r="B168" s="9" t="s">
        <v>93</v>
      </c>
      <c r="C168" s="4">
        <v>201000511</v>
      </c>
      <c r="D168" s="4"/>
      <c r="E168" s="4" t="str">
        <f>"009592010"</f>
        <v>009592010</v>
      </c>
      <c r="F168" s="10">
        <v>40122</v>
      </c>
      <c r="G168" s="11">
        <v>75</v>
      </c>
      <c r="H168" s="11">
        <v>75</v>
      </c>
      <c r="I168" s="4" t="s">
        <v>1766</v>
      </c>
      <c r="J168" s="4" t="s">
        <v>1767</v>
      </c>
      <c r="K168" s="11">
        <v>0</v>
      </c>
      <c r="L168" s="4"/>
      <c r="M168" s="4"/>
      <c r="N168" s="11">
        <v>0</v>
      </c>
      <c r="O168" s="4"/>
      <c r="P168" s="4"/>
      <c r="Q168" s="11">
        <v>0</v>
      </c>
      <c r="R168" s="4"/>
      <c r="S168" s="12"/>
    </row>
    <row r="169" spans="1:19" x14ac:dyDescent="0.25">
      <c r="A169" s="9" t="s">
        <v>93</v>
      </c>
      <c r="B169" s="9" t="s">
        <v>93</v>
      </c>
      <c r="C169" s="4">
        <v>201000526</v>
      </c>
      <c r="D169" s="4"/>
      <c r="E169" s="4" t="str">
        <f>"010132010"</f>
        <v>010132010</v>
      </c>
      <c r="F169" s="10">
        <v>40127</v>
      </c>
      <c r="G169" s="11">
        <v>3.4</v>
      </c>
      <c r="H169" s="11">
        <v>3.4</v>
      </c>
      <c r="I169" s="4" t="s">
        <v>1766</v>
      </c>
      <c r="J169" s="4" t="s">
        <v>1767</v>
      </c>
      <c r="K169" s="11">
        <v>0</v>
      </c>
      <c r="L169" s="4"/>
      <c r="M169" s="4"/>
      <c r="N169" s="11">
        <v>0</v>
      </c>
      <c r="O169" s="4"/>
      <c r="P169" s="4"/>
      <c r="Q169" s="11">
        <v>0</v>
      </c>
      <c r="R169" s="4"/>
      <c r="S169" s="12"/>
    </row>
    <row r="170" spans="1:19" x14ac:dyDescent="0.25">
      <c r="A170" s="9" t="s">
        <v>93</v>
      </c>
      <c r="B170" s="9" t="s">
        <v>93</v>
      </c>
      <c r="C170" s="4">
        <v>201000529</v>
      </c>
      <c r="D170" s="4"/>
      <c r="E170" s="4" t="str">
        <f>"009632010"</f>
        <v>009632010</v>
      </c>
      <c r="F170" s="10">
        <v>40122</v>
      </c>
      <c r="G170" s="11">
        <v>88.75</v>
      </c>
      <c r="H170" s="11">
        <v>88.75</v>
      </c>
      <c r="I170" s="4" t="s">
        <v>1766</v>
      </c>
      <c r="J170" s="4" t="s">
        <v>1767</v>
      </c>
      <c r="K170" s="11">
        <v>0</v>
      </c>
      <c r="L170" s="4"/>
      <c r="M170" s="4"/>
      <c r="N170" s="11">
        <v>0</v>
      </c>
      <c r="O170" s="4"/>
      <c r="P170" s="4"/>
      <c r="Q170" s="11">
        <v>0</v>
      </c>
      <c r="R170" s="4"/>
      <c r="S170" s="12"/>
    </row>
    <row r="171" spans="1:19" x14ac:dyDescent="0.25">
      <c r="A171" s="9" t="s">
        <v>93</v>
      </c>
      <c r="B171" s="9" t="s">
        <v>93</v>
      </c>
      <c r="C171" s="4">
        <v>201000530</v>
      </c>
      <c r="D171" s="4"/>
      <c r="E171" s="4" t="str">
        <f>"009572010"</f>
        <v>009572010</v>
      </c>
      <c r="F171" s="10">
        <v>40122</v>
      </c>
      <c r="G171" s="11">
        <v>54.95</v>
      </c>
      <c r="H171" s="11">
        <v>54.95</v>
      </c>
      <c r="I171" s="4" t="s">
        <v>1766</v>
      </c>
      <c r="J171" s="4" t="s">
        <v>1767</v>
      </c>
      <c r="K171" s="11">
        <v>0</v>
      </c>
      <c r="L171" s="4"/>
      <c r="M171" s="4"/>
      <c r="N171" s="11">
        <v>0</v>
      </c>
      <c r="O171" s="4"/>
      <c r="P171" s="4"/>
      <c r="Q171" s="11">
        <v>0</v>
      </c>
      <c r="R171" s="4"/>
      <c r="S171" s="12"/>
    </row>
    <row r="172" spans="1:19" x14ac:dyDescent="0.25">
      <c r="A172" s="9" t="s">
        <v>93</v>
      </c>
      <c r="B172" s="9" t="s">
        <v>93</v>
      </c>
      <c r="C172" s="4">
        <v>201000533</v>
      </c>
      <c r="D172" s="4"/>
      <c r="E172" s="4" t="str">
        <f>"009712010"</f>
        <v>009712010</v>
      </c>
      <c r="F172" s="10">
        <v>40122</v>
      </c>
      <c r="G172" s="11">
        <v>60</v>
      </c>
      <c r="H172" s="11">
        <v>60</v>
      </c>
      <c r="I172" s="4" t="s">
        <v>1766</v>
      </c>
      <c r="J172" s="4" t="s">
        <v>1767</v>
      </c>
      <c r="K172" s="11">
        <v>0</v>
      </c>
      <c r="L172" s="4"/>
      <c r="M172" s="4"/>
      <c r="N172" s="11">
        <v>0</v>
      </c>
      <c r="O172" s="4"/>
      <c r="P172" s="4"/>
      <c r="Q172" s="11">
        <v>0</v>
      </c>
      <c r="R172" s="4"/>
      <c r="S172" s="12"/>
    </row>
    <row r="173" spans="1:19" x14ac:dyDescent="0.25">
      <c r="A173" s="9" t="s">
        <v>93</v>
      </c>
      <c r="B173" s="9" t="s">
        <v>93</v>
      </c>
      <c r="C173" s="4">
        <v>201000537</v>
      </c>
      <c r="D173" s="4"/>
      <c r="E173" s="4" t="str">
        <f>"009692010"</f>
        <v>009692010</v>
      </c>
      <c r="F173" s="10">
        <v>40122</v>
      </c>
      <c r="G173" s="11">
        <v>40</v>
      </c>
      <c r="H173" s="11">
        <v>40</v>
      </c>
      <c r="I173" s="4" t="s">
        <v>1766</v>
      </c>
      <c r="J173" s="4" t="s">
        <v>1767</v>
      </c>
      <c r="K173" s="11">
        <v>0</v>
      </c>
      <c r="L173" s="4"/>
      <c r="M173" s="4"/>
      <c r="N173" s="11">
        <v>0</v>
      </c>
      <c r="O173" s="4"/>
      <c r="P173" s="4"/>
      <c r="Q173" s="11">
        <v>0</v>
      </c>
      <c r="R173" s="4"/>
      <c r="S173" s="12"/>
    </row>
    <row r="174" spans="1:19" x14ac:dyDescent="0.25">
      <c r="A174" s="9" t="s">
        <v>93</v>
      </c>
      <c r="B174" s="9" t="s">
        <v>93</v>
      </c>
      <c r="C174" s="4">
        <v>201000564</v>
      </c>
      <c r="D174" s="4"/>
      <c r="E174" s="4" t="str">
        <f>"010232010"</f>
        <v>010232010</v>
      </c>
      <c r="F174" s="10">
        <v>40126</v>
      </c>
      <c r="G174" s="11">
        <v>75</v>
      </c>
      <c r="H174" s="11">
        <v>75</v>
      </c>
      <c r="I174" s="4" t="s">
        <v>1766</v>
      </c>
      <c r="J174" s="4" t="s">
        <v>1767</v>
      </c>
      <c r="K174" s="11">
        <v>0</v>
      </c>
      <c r="L174" s="4"/>
      <c r="M174" s="4"/>
      <c r="N174" s="11">
        <v>0</v>
      </c>
      <c r="O174" s="4"/>
      <c r="P174" s="4"/>
      <c r="Q174" s="11">
        <v>0</v>
      </c>
      <c r="R174" s="4"/>
      <c r="S174" s="12"/>
    </row>
    <row r="175" spans="1:19" x14ac:dyDescent="0.25">
      <c r="A175" s="9" t="s">
        <v>93</v>
      </c>
      <c r="B175" s="9" t="s">
        <v>93</v>
      </c>
      <c r="C175" s="4">
        <v>201000761</v>
      </c>
      <c r="D175" s="4"/>
      <c r="E175" s="4" t="str">
        <f>"014342010"</f>
        <v>014342010</v>
      </c>
      <c r="F175" s="10">
        <v>40142</v>
      </c>
      <c r="G175" s="11">
        <v>32.89</v>
      </c>
      <c r="H175" s="11">
        <v>32.89</v>
      </c>
      <c r="I175" s="4" t="s">
        <v>1766</v>
      </c>
      <c r="J175" s="4" t="s">
        <v>1767</v>
      </c>
      <c r="K175" s="11">
        <v>0</v>
      </c>
      <c r="L175" s="4"/>
      <c r="M175" s="4"/>
      <c r="N175" s="11">
        <v>0</v>
      </c>
      <c r="O175" s="4"/>
      <c r="P175" s="4"/>
      <c r="Q175" s="11">
        <v>0</v>
      </c>
      <c r="R175" s="4"/>
      <c r="S175" s="12"/>
    </row>
    <row r="176" spans="1:19" x14ac:dyDescent="0.25">
      <c r="A176" s="9" t="s">
        <v>93</v>
      </c>
      <c r="B176" s="9" t="s">
        <v>93</v>
      </c>
      <c r="C176" s="4">
        <v>201000765</v>
      </c>
      <c r="D176" s="4"/>
      <c r="E176" s="4" t="str">
        <f>"037832010"</f>
        <v>037832010</v>
      </c>
      <c r="F176" s="10">
        <v>40226</v>
      </c>
      <c r="G176" s="11">
        <v>0</v>
      </c>
      <c r="H176" s="11">
        <v>64.95</v>
      </c>
      <c r="I176" s="4" t="s">
        <v>1766</v>
      </c>
      <c r="J176" s="4" t="s">
        <v>1767</v>
      </c>
      <c r="K176" s="11">
        <v>0</v>
      </c>
      <c r="L176" s="4"/>
      <c r="M176" s="4"/>
      <c r="N176" s="11">
        <v>0</v>
      </c>
      <c r="O176" s="4"/>
      <c r="P176" s="4"/>
      <c r="Q176" s="11">
        <v>0</v>
      </c>
      <c r="R176" s="4"/>
      <c r="S176" s="12"/>
    </row>
    <row r="177" spans="1:19" x14ac:dyDescent="0.25">
      <c r="A177" s="9" t="s">
        <v>93</v>
      </c>
      <c r="B177" s="9" t="s">
        <v>93</v>
      </c>
      <c r="C177" s="4">
        <v>201000799</v>
      </c>
      <c r="D177" s="4"/>
      <c r="E177" s="4" t="str">
        <f>"014842010"</f>
        <v>014842010</v>
      </c>
      <c r="F177" s="10">
        <v>40142</v>
      </c>
      <c r="G177" s="11">
        <v>68.75</v>
      </c>
      <c r="H177" s="11">
        <v>68.75</v>
      </c>
      <c r="I177" s="4" t="s">
        <v>1766</v>
      </c>
      <c r="J177" s="4" t="s">
        <v>1767</v>
      </c>
      <c r="K177" s="11">
        <v>0</v>
      </c>
      <c r="L177" s="4"/>
      <c r="M177" s="4"/>
      <c r="N177" s="11">
        <v>0</v>
      </c>
      <c r="O177" s="4"/>
      <c r="P177" s="4"/>
      <c r="Q177" s="11">
        <v>0</v>
      </c>
      <c r="R177" s="4"/>
      <c r="S177" s="12"/>
    </row>
    <row r="178" spans="1:19" x14ac:dyDescent="0.25">
      <c r="A178" s="9" t="s">
        <v>93</v>
      </c>
      <c r="B178" s="9" t="s">
        <v>93</v>
      </c>
      <c r="C178" s="4">
        <v>201000800</v>
      </c>
      <c r="D178" s="4"/>
      <c r="E178" s="4" t="str">
        <f>"014902010"</f>
        <v>014902010</v>
      </c>
      <c r="F178" s="10">
        <v>40142</v>
      </c>
      <c r="G178" s="11">
        <v>47.7</v>
      </c>
      <c r="H178" s="11">
        <v>47.7</v>
      </c>
      <c r="I178" s="4" t="s">
        <v>1766</v>
      </c>
      <c r="J178" s="4" t="s">
        <v>1767</v>
      </c>
      <c r="K178" s="11">
        <v>0</v>
      </c>
      <c r="L178" s="4"/>
      <c r="M178" s="4"/>
      <c r="N178" s="11">
        <v>0</v>
      </c>
      <c r="O178" s="4"/>
      <c r="P178" s="4"/>
      <c r="Q178" s="11">
        <v>0</v>
      </c>
      <c r="R178" s="4"/>
      <c r="S178" s="12"/>
    </row>
    <row r="179" spans="1:19" x14ac:dyDescent="0.25">
      <c r="A179" s="9" t="s">
        <v>93</v>
      </c>
      <c r="B179" s="9" t="s">
        <v>93</v>
      </c>
      <c r="C179" s="4">
        <v>201000878</v>
      </c>
      <c r="D179" s="4"/>
      <c r="E179" s="4" t="str">
        <f>"016862010"</f>
        <v>016862010</v>
      </c>
      <c r="F179" s="10">
        <v>40150</v>
      </c>
      <c r="G179" s="11">
        <v>50</v>
      </c>
      <c r="H179" s="11">
        <v>50</v>
      </c>
      <c r="I179" s="4" t="s">
        <v>1766</v>
      </c>
      <c r="J179" s="4" t="s">
        <v>1767</v>
      </c>
      <c r="K179" s="11">
        <v>0</v>
      </c>
      <c r="L179" s="4"/>
      <c r="M179" s="4"/>
      <c r="N179" s="11">
        <v>0</v>
      </c>
      <c r="O179" s="4"/>
      <c r="P179" s="4"/>
      <c r="Q179" s="11">
        <v>0</v>
      </c>
      <c r="R179" s="4"/>
      <c r="S179" s="12"/>
    </row>
    <row r="180" spans="1:19" x14ac:dyDescent="0.25">
      <c r="A180" s="9" t="s">
        <v>93</v>
      </c>
      <c r="B180" s="9" t="s">
        <v>93</v>
      </c>
      <c r="C180" s="4">
        <v>201000882</v>
      </c>
      <c r="D180" s="4"/>
      <c r="E180" s="4" t="str">
        <f>"017962010"</f>
        <v>017962010</v>
      </c>
      <c r="F180" s="10">
        <v>40150</v>
      </c>
      <c r="G180" s="11">
        <v>2639.28</v>
      </c>
      <c r="H180" s="11">
        <v>2639.28</v>
      </c>
      <c r="I180" s="4" t="s">
        <v>366</v>
      </c>
      <c r="J180" s="4" t="s">
        <v>367</v>
      </c>
      <c r="K180" s="11">
        <v>0</v>
      </c>
      <c r="L180" s="4"/>
      <c r="M180" s="4"/>
      <c r="N180" s="11">
        <v>0</v>
      </c>
      <c r="O180" s="4"/>
      <c r="P180" s="4"/>
      <c r="Q180" s="11">
        <v>0</v>
      </c>
      <c r="R180" s="4"/>
      <c r="S180" s="12"/>
    </row>
    <row r="181" spans="1:19" x14ac:dyDescent="0.25">
      <c r="A181" s="9" t="s">
        <v>93</v>
      </c>
      <c r="B181" s="9" t="s">
        <v>93</v>
      </c>
      <c r="C181" s="4">
        <v>201000898</v>
      </c>
      <c r="D181" s="4"/>
      <c r="E181" s="4" t="str">
        <f>"017162010"</f>
        <v>017162010</v>
      </c>
      <c r="F181" s="10">
        <v>40149</v>
      </c>
      <c r="G181" s="11">
        <v>100</v>
      </c>
      <c r="H181" s="11">
        <v>100</v>
      </c>
      <c r="I181" s="4" t="s">
        <v>1766</v>
      </c>
      <c r="J181" s="4" t="s">
        <v>1767</v>
      </c>
      <c r="K181" s="11">
        <v>0</v>
      </c>
      <c r="L181" s="4"/>
      <c r="M181" s="4"/>
      <c r="N181" s="11">
        <v>0</v>
      </c>
      <c r="O181" s="4"/>
      <c r="P181" s="4"/>
      <c r="Q181" s="11">
        <v>0</v>
      </c>
      <c r="R181" s="4"/>
      <c r="S181" s="12"/>
    </row>
    <row r="182" spans="1:19" x14ac:dyDescent="0.25">
      <c r="A182" s="9" t="s">
        <v>93</v>
      </c>
      <c r="B182" s="9" t="s">
        <v>93</v>
      </c>
      <c r="C182" s="4">
        <v>201000901</v>
      </c>
      <c r="D182" s="4"/>
      <c r="E182" s="4" t="str">
        <f>"017922010"</f>
        <v>017922010</v>
      </c>
      <c r="F182" s="10">
        <v>40151</v>
      </c>
      <c r="G182" s="11">
        <v>70.680000000000007</v>
      </c>
      <c r="H182" s="11">
        <v>70.680000000000007</v>
      </c>
      <c r="I182" s="4" t="s">
        <v>1766</v>
      </c>
      <c r="J182" s="4" t="s">
        <v>1767</v>
      </c>
      <c r="K182" s="11">
        <v>0</v>
      </c>
      <c r="L182" s="4"/>
      <c r="M182" s="4"/>
      <c r="N182" s="11">
        <v>0</v>
      </c>
      <c r="O182" s="4"/>
      <c r="P182" s="4"/>
      <c r="Q182" s="11">
        <v>0</v>
      </c>
      <c r="R182" s="4"/>
      <c r="S182" s="12"/>
    </row>
    <row r="183" spans="1:19" x14ac:dyDescent="0.25">
      <c r="A183" s="9" t="s">
        <v>93</v>
      </c>
      <c r="B183" s="9" t="s">
        <v>93</v>
      </c>
      <c r="C183" s="4">
        <v>201000948</v>
      </c>
      <c r="D183" s="4"/>
      <c r="E183" s="4" t="str">
        <f>"018182010"</f>
        <v>018182010</v>
      </c>
      <c r="F183" s="10">
        <v>40157</v>
      </c>
      <c r="G183" s="11">
        <v>41.93</v>
      </c>
      <c r="H183" s="11">
        <v>41.93</v>
      </c>
      <c r="I183" s="4" t="s">
        <v>1766</v>
      </c>
      <c r="J183" s="4" t="s">
        <v>1767</v>
      </c>
      <c r="K183" s="11">
        <v>0</v>
      </c>
      <c r="L183" s="4"/>
      <c r="M183" s="4"/>
      <c r="N183" s="11">
        <v>0</v>
      </c>
      <c r="O183" s="4"/>
      <c r="P183" s="4"/>
      <c r="Q183" s="11">
        <v>0</v>
      </c>
      <c r="R183" s="4"/>
      <c r="S183" s="12"/>
    </row>
    <row r="184" spans="1:19" x14ac:dyDescent="0.25">
      <c r="A184" s="9" t="s">
        <v>93</v>
      </c>
      <c r="B184" s="9" t="s">
        <v>93</v>
      </c>
      <c r="C184" s="4">
        <v>201000961</v>
      </c>
      <c r="D184" s="4"/>
      <c r="E184" s="4" t="str">
        <f>"021672010"</f>
        <v>021672010</v>
      </c>
      <c r="F184" s="10">
        <v>40165</v>
      </c>
      <c r="G184" s="11">
        <v>38.75</v>
      </c>
      <c r="H184" s="11">
        <v>38.75</v>
      </c>
      <c r="I184" s="4" t="s">
        <v>1766</v>
      </c>
      <c r="J184" s="4" t="s">
        <v>1767</v>
      </c>
      <c r="K184" s="11">
        <v>0</v>
      </c>
      <c r="L184" s="4"/>
      <c r="M184" s="4"/>
      <c r="N184" s="11">
        <v>0</v>
      </c>
      <c r="O184" s="4"/>
      <c r="P184" s="4"/>
      <c r="Q184" s="11">
        <v>0</v>
      </c>
      <c r="R184" s="4"/>
      <c r="S184" s="12"/>
    </row>
    <row r="185" spans="1:19" x14ac:dyDescent="0.25">
      <c r="A185" s="9" t="s">
        <v>93</v>
      </c>
      <c r="B185" s="9" t="s">
        <v>93</v>
      </c>
      <c r="C185" s="4">
        <v>201000967</v>
      </c>
      <c r="D185" s="4"/>
      <c r="E185" s="4" t="str">
        <f>"018692010"</f>
        <v>018692010</v>
      </c>
      <c r="F185" s="10">
        <v>40157</v>
      </c>
      <c r="G185" s="11">
        <v>93.71</v>
      </c>
      <c r="H185" s="11">
        <v>93.71</v>
      </c>
      <c r="I185" s="4" t="s">
        <v>1766</v>
      </c>
      <c r="J185" s="4" t="s">
        <v>1767</v>
      </c>
      <c r="K185" s="11">
        <v>0</v>
      </c>
      <c r="L185" s="4"/>
      <c r="M185" s="4"/>
      <c r="N185" s="11">
        <v>0</v>
      </c>
      <c r="O185" s="4"/>
      <c r="P185" s="4"/>
      <c r="Q185" s="11">
        <v>0</v>
      </c>
      <c r="R185" s="4"/>
      <c r="S185" s="12"/>
    </row>
    <row r="186" spans="1:19" x14ac:dyDescent="0.25">
      <c r="A186" s="9" t="s">
        <v>93</v>
      </c>
      <c r="B186" s="9" t="s">
        <v>93</v>
      </c>
      <c r="C186" s="4">
        <v>201000975</v>
      </c>
      <c r="D186" s="4"/>
      <c r="E186" s="4" t="str">
        <f>"018852010"</f>
        <v>018852010</v>
      </c>
      <c r="F186" s="10">
        <v>40154</v>
      </c>
      <c r="G186" s="11">
        <v>10321.49</v>
      </c>
      <c r="H186" s="11">
        <v>10321.49</v>
      </c>
      <c r="I186" s="4" t="s">
        <v>366</v>
      </c>
      <c r="J186" s="4" t="s">
        <v>367</v>
      </c>
      <c r="K186" s="11">
        <v>0</v>
      </c>
      <c r="L186" s="4"/>
      <c r="M186" s="4"/>
      <c r="N186" s="11">
        <v>0</v>
      </c>
      <c r="O186" s="4"/>
      <c r="P186" s="4"/>
      <c r="Q186" s="11">
        <v>0</v>
      </c>
      <c r="R186" s="4"/>
      <c r="S186" s="12"/>
    </row>
    <row r="187" spans="1:19" x14ac:dyDescent="0.25">
      <c r="A187" s="9" t="s">
        <v>93</v>
      </c>
      <c r="B187" s="9" t="s">
        <v>93</v>
      </c>
      <c r="C187" s="4">
        <v>201000985</v>
      </c>
      <c r="D187" s="4"/>
      <c r="E187" s="4" t="str">
        <f>"022032010"</f>
        <v>022032010</v>
      </c>
      <c r="F187" s="10">
        <v>40161</v>
      </c>
      <c r="G187" s="11">
        <v>7500</v>
      </c>
      <c r="H187" s="11">
        <v>7500</v>
      </c>
      <c r="I187" s="4" t="s">
        <v>54</v>
      </c>
      <c r="J187" s="4" t="s">
        <v>55</v>
      </c>
      <c r="K187" s="11">
        <v>0</v>
      </c>
      <c r="L187" s="4"/>
      <c r="M187" s="4"/>
      <c r="N187" s="11">
        <v>0</v>
      </c>
      <c r="O187" s="4"/>
      <c r="P187" s="4"/>
      <c r="Q187" s="11">
        <v>0</v>
      </c>
      <c r="R187" s="4"/>
      <c r="S187" s="12"/>
    </row>
    <row r="188" spans="1:19" x14ac:dyDescent="0.25">
      <c r="A188" s="9" t="s">
        <v>93</v>
      </c>
      <c r="B188" s="9" t="s">
        <v>93</v>
      </c>
      <c r="C188" s="4">
        <v>201000989</v>
      </c>
      <c r="D188" s="4"/>
      <c r="E188" s="4" t="str">
        <f>"019252010"</f>
        <v>019252010</v>
      </c>
      <c r="F188" s="10">
        <v>40157</v>
      </c>
      <c r="G188" s="11">
        <v>46.5</v>
      </c>
      <c r="H188" s="11">
        <v>46.5</v>
      </c>
      <c r="I188" s="4" t="s">
        <v>1766</v>
      </c>
      <c r="J188" s="4" t="s">
        <v>1767</v>
      </c>
      <c r="K188" s="11">
        <v>0</v>
      </c>
      <c r="L188" s="4"/>
      <c r="M188" s="4"/>
      <c r="N188" s="11">
        <v>0</v>
      </c>
      <c r="O188" s="4"/>
      <c r="P188" s="4"/>
      <c r="Q188" s="11">
        <v>0</v>
      </c>
      <c r="R188" s="4"/>
      <c r="S188" s="12"/>
    </row>
    <row r="189" spans="1:19" x14ac:dyDescent="0.25">
      <c r="A189" s="9" t="s">
        <v>93</v>
      </c>
      <c r="B189" s="9" t="s">
        <v>93</v>
      </c>
      <c r="C189" s="4">
        <v>201000995</v>
      </c>
      <c r="D189" s="4"/>
      <c r="E189" s="4" t="str">
        <f>"019112010"</f>
        <v>019112010</v>
      </c>
      <c r="F189" s="10">
        <v>40157</v>
      </c>
      <c r="G189" s="11">
        <v>40</v>
      </c>
      <c r="H189" s="11">
        <v>40</v>
      </c>
      <c r="I189" s="4" t="s">
        <v>1766</v>
      </c>
      <c r="J189" s="4" t="s">
        <v>1767</v>
      </c>
      <c r="K189" s="11">
        <v>0</v>
      </c>
      <c r="L189" s="4"/>
      <c r="M189" s="4"/>
      <c r="N189" s="11">
        <v>0</v>
      </c>
      <c r="O189" s="4"/>
      <c r="P189" s="4"/>
      <c r="Q189" s="11">
        <v>0</v>
      </c>
      <c r="R189" s="4"/>
      <c r="S189" s="12"/>
    </row>
    <row r="190" spans="1:19" x14ac:dyDescent="0.25">
      <c r="A190" s="9" t="s">
        <v>93</v>
      </c>
      <c r="B190" s="9" t="s">
        <v>93</v>
      </c>
      <c r="C190" s="4">
        <v>201001048</v>
      </c>
      <c r="D190" s="4" t="s">
        <v>1768</v>
      </c>
      <c r="E190" s="4" t="str">
        <f>"020542010"</f>
        <v>020542010</v>
      </c>
      <c r="F190" s="10">
        <v>40162</v>
      </c>
      <c r="G190" s="11">
        <v>33.76</v>
      </c>
      <c r="H190" s="11">
        <v>33.76</v>
      </c>
      <c r="I190" s="4" t="s">
        <v>1766</v>
      </c>
      <c r="J190" s="4" t="s">
        <v>1767</v>
      </c>
      <c r="K190" s="11">
        <v>0</v>
      </c>
      <c r="L190" s="4"/>
      <c r="M190" s="4"/>
      <c r="N190" s="11">
        <v>0</v>
      </c>
      <c r="O190" s="4"/>
      <c r="P190" s="4"/>
      <c r="Q190" s="11">
        <v>0</v>
      </c>
      <c r="R190" s="4"/>
      <c r="S190" s="12"/>
    </row>
    <row r="191" spans="1:19" x14ac:dyDescent="0.25">
      <c r="A191" s="9" t="s">
        <v>93</v>
      </c>
      <c r="B191" s="9" t="s">
        <v>93</v>
      </c>
      <c r="C191" s="4">
        <v>201001049</v>
      </c>
      <c r="D191" s="4"/>
      <c r="E191" s="4" t="str">
        <f>"020462010"</f>
        <v>020462010</v>
      </c>
      <c r="F191" s="10">
        <v>40162</v>
      </c>
      <c r="G191" s="11">
        <v>140</v>
      </c>
      <c r="H191" s="11">
        <v>140</v>
      </c>
      <c r="I191" s="4" t="s">
        <v>1766</v>
      </c>
      <c r="J191" s="4" t="s">
        <v>1767</v>
      </c>
      <c r="K191" s="11">
        <v>0</v>
      </c>
      <c r="L191" s="4"/>
      <c r="M191" s="4"/>
      <c r="N191" s="11">
        <v>0</v>
      </c>
      <c r="O191" s="4"/>
      <c r="P191" s="4"/>
      <c r="Q191" s="11">
        <v>0</v>
      </c>
      <c r="R191" s="4"/>
      <c r="S191" s="12"/>
    </row>
    <row r="192" spans="1:19" x14ac:dyDescent="0.25">
      <c r="A192" s="9" t="s">
        <v>93</v>
      </c>
      <c r="B192" s="9" t="s">
        <v>93</v>
      </c>
      <c r="C192" s="4">
        <v>201001054</v>
      </c>
      <c r="D192" s="4"/>
      <c r="E192" s="4" t="str">
        <f>"020262010"</f>
        <v>020262010</v>
      </c>
      <c r="F192" s="10">
        <v>40162</v>
      </c>
      <c r="G192" s="11">
        <v>42.8</v>
      </c>
      <c r="H192" s="11">
        <v>42.8</v>
      </c>
      <c r="I192" s="4" t="s">
        <v>1766</v>
      </c>
      <c r="J192" s="4" t="s">
        <v>1767</v>
      </c>
      <c r="K192" s="11">
        <v>0</v>
      </c>
      <c r="L192" s="4"/>
      <c r="M192" s="4"/>
      <c r="N192" s="11">
        <v>0</v>
      </c>
      <c r="O192" s="4"/>
      <c r="P192" s="4"/>
      <c r="Q192" s="11">
        <v>0</v>
      </c>
      <c r="R192" s="4"/>
      <c r="S192" s="12"/>
    </row>
    <row r="193" spans="1:19" x14ac:dyDescent="0.25">
      <c r="A193" s="9" t="s">
        <v>93</v>
      </c>
      <c r="B193" s="9" t="s">
        <v>93</v>
      </c>
      <c r="C193" s="4">
        <v>201001056</v>
      </c>
      <c r="D193" s="4"/>
      <c r="E193" s="4" t="str">
        <f>"020442010"</f>
        <v>020442010</v>
      </c>
      <c r="F193" s="10">
        <v>40162</v>
      </c>
      <c r="G193" s="11">
        <v>50</v>
      </c>
      <c r="H193" s="11">
        <v>50</v>
      </c>
      <c r="I193" s="4" t="s">
        <v>1766</v>
      </c>
      <c r="J193" s="4" t="s">
        <v>1767</v>
      </c>
      <c r="K193" s="11">
        <v>0</v>
      </c>
      <c r="L193" s="4"/>
      <c r="M193" s="4"/>
      <c r="N193" s="11">
        <v>0</v>
      </c>
      <c r="O193" s="4"/>
      <c r="P193" s="4"/>
      <c r="Q193" s="11">
        <v>0</v>
      </c>
      <c r="R193" s="4"/>
      <c r="S193" s="12"/>
    </row>
    <row r="194" spans="1:19" x14ac:dyDescent="0.25">
      <c r="A194" s="9" t="s">
        <v>93</v>
      </c>
      <c r="B194" s="9" t="s">
        <v>93</v>
      </c>
      <c r="C194" s="4">
        <v>201001072</v>
      </c>
      <c r="D194" s="4"/>
      <c r="E194" s="4" t="str">
        <f>"020842010"</f>
        <v>020842010</v>
      </c>
      <c r="F194" s="10">
        <v>40165</v>
      </c>
      <c r="G194" s="11">
        <v>45</v>
      </c>
      <c r="H194" s="11">
        <v>45</v>
      </c>
      <c r="I194" s="4" t="s">
        <v>1766</v>
      </c>
      <c r="J194" s="4" t="s">
        <v>1767</v>
      </c>
      <c r="K194" s="11">
        <v>0</v>
      </c>
      <c r="L194" s="4"/>
      <c r="M194" s="4"/>
      <c r="N194" s="11">
        <v>0</v>
      </c>
      <c r="O194" s="4"/>
      <c r="P194" s="4"/>
      <c r="Q194" s="11">
        <v>0</v>
      </c>
      <c r="R194" s="4"/>
      <c r="S194" s="12"/>
    </row>
    <row r="195" spans="1:19" x14ac:dyDescent="0.25">
      <c r="A195" s="9" t="s">
        <v>93</v>
      </c>
      <c r="B195" s="9" t="s">
        <v>93</v>
      </c>
      <c r="C195" s="4">
        <v>201001081</v>
      </c>
      <c r="D195" s="4"/>
      <c r="E195" s="4" t="str">
        <f>"020682010"</f>
        <v>020682010</v>
      </c>
      <c r="F195" s="10">
        <v>40165</v>
      </c>
      <c r="G195" s="11">
        <v>48</v>
      </c>
      <c r="H195" s="11">
        <v>48</v>
      </c>
      <c r="I195" s="4" t="s">
        <v>1766</v>
      </c>
      <c r="J195" s="4" t="s">
        <v>1767</v>
      </c>
      <c r="K195" s="11">
        <v>0</v>
      </c>
      <c r="L195" s="4"/>
      <c r="M195" s="4"/>
      <c r="N195" s="11">
        <v>0</v>
      </c>
      <c r="O195" s="4"/>
      <c r="P195" s="4"/>
      <c r="Q195" s="11">
        <v>0</v>
      </c>
      <c r="R195" s="4"/>
      <c r="S195" s="12"/>
    </row>
    <row r="196" spans="1:19" x14ac:dyDescent="0.25">
      <c r="A196" s="9" t="s">
        <v>93</v>
      </c>
      <c r="B196" s="9" t="s">
        <v>93</v>
      </c>
      <c r="C196" s="4">
        <v>201001159</v>
      </c>
      <c r="D196" s="4"/>
      <c r="E196" s="4" t="str">
        <f>"022372010"</f>
        <v>022372010</v>
      </c>
      <c r="F196" s="10">
        <v>40165</v>
      </c>
      <c r="G196" s="11">
        <v>6.5</v>
      </c>
      <c r="H196" s="11">
        <v>6.5</v>
      </c>
      <c r="I196" s="4" t="s">
        <v>1766</v>
      </c>
      <c r="J196" s="4" t="s">
        <v>1767</v>
      </c>
      <c r="K196" s="11">
        <v>0</v>
      </c>
      <c r="L196" s="4"/>
      <c r="M196" s="4"/>
      <c r="N196" s="11">
        <v>0</v>
      </c>
      <c r="O196" s="4"/>
      <c r="P196" s="4"/>
      <c r="Q196" s="11">
        <v>0</v>
      </c>
      <c r="R196" s="4"/>
      <c r="S196" s="12"/>
    </row>
    <row r="197" spans="1:19" x14ac:dyDescent="0.25">
      <c r="A197" s="9" t="s">
        <v>93</v>
      </c>
      <c r="B197" s="9" t="s">
        <v>93</v>
      </c>
      <c r="C197" s="4">
        <v>201001252</v>
      </c>
      <c r="D197" s="4"/>
      <c r="E197" s="4" t="str">
        <f>"024512010"</f>
        <v>024512010</v>
      </c>
      <c r="F197" s="10">
        <v>40177</v>
      </c>
      <c r="G197" s="11">
        <v>11.6</v>
      </c>
      <c r="H197" s="11">
        <v>11.6</v>
      </c>
      <c r="I197" s="4" t="s">
        <v>1766</v>
      </c>
      <c r="J197" s="4" t="s">
        <v>1767</v>
      </c>
      <c r="K197" s="11">
        <v>0</v>
      </c>
      <c r="L197" s="4"/>
      <c r="M197" s="4"/>
      <c r="N197" s="11">
        <v>0</v>
      </c>
      <c r="O197" s="4"/>
      <c r="P197" s="4"/>
      <c r="Q197" s="11">
        <v>0</v>
      </c>
      <c r="R197" s="4"/>
      <c r="S197" s="12"/>
    </row>
    <row r="198" spans="1:19" x14ac:dyDescent="0.25">
      <c r="A198" s="9" t="s">
        <v>93</v>
      </c>
      <c r="B198" s="9" t="s">
        <v>93</v>
      </c>
      <c r="C198" s="4">
        <v>201001259</v>
      </c>
      <c r="D198" s="4"/>
      <c r="E198" s="4" t="str">
        <f>"059672010"</f>
        <v>059672010</v>
      </c>
      <c r="F198" s="10">
        <v>40288</v>
      </c>
      <c r="G198" s="11">
        <v>7000</v>
      </c>
      <c r="H198" s="11">
        <v>7000</v>
      </c>
      <c r="I198" s="4" t="s">
        <v>687</v>
      </c>
      <c r="J198" s="4" t="s">
        <v>688</v>
      </c>
      <c r="K198" s="11">
        <v>0</v>
      </c>
      <c r="L198" s="4"/>
      <c r="M198" s="4"/>
      <c r="N198" s="11">
        <v>0</v>
      </c>
      <c r="O198" s="4"/>
      <c r="P198" s="4"/>
      <c r="Q198" s="11">
        <v>0</v>
      </c>
      <c r="R198" s="4"/>
      <c r="S198" s="12"/>
    </row>
    <row r="199" spans="1:19" x14ac:dyDescent="0.25">
      <c r="A199" s="9" t="s">
        <v>93</v>
      </c>
      <c r="B199" s="9" t="s">
        <v>93</v>
      </c>
      <c r="C199" s="4">
        <v>201001267</v>
      </c>
      <c r="D199" s="4"/>
      <c r="E199" s="4" t="str">
        <f>"029452010"</f>
        <v>029452010</v>
      </c>
      <c r="F199" s="10">
        <v>40191</v>
      </c>
      <c r="G199" s="11">
        <v>84.5</v>
      </c>
      <c r="H199" s="11">
        <v>84.5</v>
      </c>
      <c r="I199" s="4" t="s">
        <v>1766</v>
      </c>
      <c r="J199" s="4" t="s">
        <v>1767</v>
      </c>
      <c r="K199" s="11">
        <v>0</v>
      </c>
      <c r="L199" s="4"/>
      <c r="M199" s="4"/>
      <c r="N199" s="11">
        <v>0</v>
      </c>
      <c r="O199" s="4"/>
      <c r="P199" s="4"/>
      <c r="Q199" s="11">
        <v>0</v>
      </c>
      <c r="R199" s="4"/>
      <c r="S199" s="12"/>
    </row>
    <row r="200" spans="1:19" x14ac:dyDescent="0.25">
      <c r="A200" s="9" t="s">
        <v>93</v>
      </c>
      <c r="B200" s="9" t="s">
        <v>93</v>
      </c>
      <c r="C200" s="4">
        <v>201001288</v>
      </c>
      <c r="D200" s="4"/>
      <c r="E200" s="4" t="str">
        <f>"030792010"</f>
        <v>030792010</v>
      </c>
      <c r="F200" s="10">
        <v>40193</v>
      </c>
      <c r="G200" s="11">
        <v>10000</v>
      </c>
      <c r="H200" s="11">
        <v>10000</v>
      </c>
      <c r="I200" s="4" t="s">
        <v>54</v>
      </c>
      <c r="J200" s="4" t="s">
        <v>55</v>
      </c>
      <c r="K200" s="11">
        <v>0</v>
      </c>
      <c r="L200" s="4"/>
      <c r="M200" s="4"/>
      <c r="N200" s="11">
        <v>0</v>
      </c>
      <c r="O200" s="4"/>
      <c r="P200" s="4"/>
      <c r="Q200" s="11">
        <v>0</v>
      </c>
      <c r="R200" s="4"/>
      <c r="S200" s="12"/>
    </row>
    <row r="201" spans="1:19" x14ac:dyDescent="0.25">
      <c r="A201" s="9" t="s">
        <v>93</v>
      </c>
      <c r="B201" s="9" t="s">
        <v>93</v>
      </c>
      <c r="C201" s="4">
        <v>201001331</v>
      </c>
      <c r="D201" s="4"/>
      <c r="E201" s="4" t="str">
        <f>"025572010"</f>
        <v>025572010</v>
      </c>
      <c r="F201" s="10">
        <v>40186</v>
      </c>
      <c r="G201" s="11">
        <v>26.4</v>
      </c>
      <c r="H201" s="11">
        <v>26.4</v>
      </c>
      <c r="I201" s="4" t="s">
        <v>1766</v>
      </c>
      <c r="J201" s="4" t="s">
        <v>1767</v>
      </c>
      <c r="K201" s="11">
        <v>0</v>
      </c>
      <c r="L201" s="4"/>
      <c r="M201" s="4"/>
      <c r="N201" s="11">
        <v>0</v>
      </c>
      <c r="O201" s="4"/>
      <c r="P201" s="4"/>
      <c r="Q201" s="11">
        <v>0</v>
      </c>
      <c r="R201" s="4"/>
      <c r="S201" s="12"/>
    </row>
    <row r="202" spans="1:19" x14ac:dyDescent="0.25">
      <c r="A202" s="9" t="s">
        <v>93</v>
      </c>
      <c r="B202" s="9" t="s">
        <v>93</v>
      </c>
      <c r="C202" s="4">
        <v>201001342</v>
      </c>
      <c r="D202" s="4"/>
      <c r="E202" s="4" t="str">
        <f>"031742010"</f>
        <v>031742010</v>
      </c>
      <c r="F202" s="10">
        <v>40199</v>
      </c>
      <c r="G202" s="11">
        <v>80.3</v>
      </c>
      <c r="H202" s="11">
        <v>80.3</v>
      </c>
      <c r="I202" s="4" t="s">
        <v>1766</v>
      </c>
      <c r="J202" s="4" t="s">
        <v>1767</v>
      </c>
      <c r="K202" s="11">
        <v>0</v>
      </c>
      <c r="L202" s="4"/>
      <c r="M202" s="4"/>
      <c r="N202" s="11">
        <v>0</v>
      </c>
      <c r="O202" s="4"/>
      <c r="P202" s="4"/>
      <c r="Q202" s="11">
        <v>0</v>
      </c>
      <c r="R202" s="4"/>
      <c r="S202" s="12"/>
    </row>
    <row r="203" spans="1:19" x14ac:dyDescent="0.25">
      <c r="A203" s="9" t="s">
        <v>93</v>
      </c>
      <c r="B203" s="9" t="s">
        <v>93</v>
      </c>
      <c r="C203" s="4">
        <v>201001386</v>
      </c>
      <c r="D203" s="4"/>
      <c r="E203" s="4" t="str">
        <f>"029692010"</f>
        <v>029692010</v>
      </c>
      <c r="F203" s="10">
        <v>40197</v>
      </c>
      <c r="G203" s="11">
        <v>40</v>
      </c>
      <c r="H203" s="11">
        <v>40</v>
      </c>
      <c r="I203" s="4" t="s">
        <v>1766</v>
      </c>
      <c r="J203" s="4" t="s">
        <v>1767</v>
      </c>
      <c r="K203" s="11">
        <v>0</v>
      </c>
      <c r="L203" s="4"/>
      <c r="M203" s="4"/>
      <c r="N203" s="11">
        <v>0</v>
      </c>
      <c r="O203" s="4"/>
      <c r="P203" s="4"/>
      <c r="Q203" s="11">
        <v>0</v>
      </c>
      <c r="R203" s="4"/>
      <c r="S203" s="12"/>
    </row>
    <row r="204" spans="1:19" x14ac:dyDescent="0.25">
      <c r="A204" s="9" t="s">
        <v>93</v>
      </c>
      <c r="B204" s="9" t="s">
        <v>93</v>
      </c>
      <c r="C204" s="4">
        <v>201001407</v>
      </c>
      <c r="D204" s="4"/>
      <c r="E204" s="4" t="str">
        <f>"027212010"</f>
        <v>027212010</v>
      </c>
      <c r="F204" s="10">
        <v>40186</v>
      </c>
      <c r="G204" s="11">
        <v>50</v>
      </c>
      <c r="H204" s="11">
        <v>50</v>
      </c>
      <c r="I204" s="4" t="s">
        <v>1766</v>
      </c>
      <c r="J204" s="4" t="s">
        <v>1767</v>
      </c>
      <c r="K204" s="11">
        <v>0</v>
      </c>
      <c r="L204" s="4"/>
      <c r="M204" s="4"/>
      <c r="N204" s="11">
        <v>0</v>
      </c>
      <c r="O204" s="4"/>
      <c r="P204" s="4"/>
      <c r="Q204" s="11">
        <v>0</v>
      </c>
      <c r="R204" s="4"/>
      <c r="S204" s="12"/>
    </row>
    <row r="205" spans="1:19" x14ac:dyDescent="0.25">
      <c r="A205" s="9" t="s">
        <v>93</v>
      </c>
      <c r="B205" s="9" t="s">
        <v>93</v>
      </c>
      <c r="C205" s="4">
        <v>201001422</v>
      </c>
      <c r="D205" s="4"/>
      <c r="E205" s="4" t="str">
        <f>"032902010"</f>
        <v>032902010</v>
      </c>
      <c r="F205" s="10">
        <v>40205</v>
      </c>
      <c r="G205" s="11">
        <v>477.5</v>
      </c>
      <c r="H205" s="11">
        <v>477.5</v>
      </c>
      <c r="I205" s="4" t="s">
        <v>1766</v>
      </c>
      <c r="J205" s="4" t="s">
        <v>1767</v>
      </c>
      <c r="K205" s="11">
        <v>0</v>
      </c>
      <c r="L205" s="4"/>
      <c r="M205" s="4"/>
      <c r="N205" s="11">
        <v>0</v>
      </c>
      <c r="O205" s="4"/>
      <c r="P205" s="4"/>
      <c r="Q205" s="11">
        <v>0</v>
      </c>
      <c r="R205" s="4"/>
      <c r="S205" s="12"/>
    </row>
    <row r="206" spans="1:19" x14ac:dyDescent="0.25">
      <c r="A206" s="9" t="s">
        <v>93</v>
      </c>
      <c r="B206" s="9" t="s">
        <v>93</v>
      </c>
      <c r="C206" s="4">
        <v>201001424</v>
      </c>
      <c r="D206" s="4"/>
      <c r="E206" s="4" t="str">
        <f>"035842010"</f>
        <v>035842010</v>
      </c>
      <c r="F206" s="10">
        <v>40213</v>
      </c>
      <c r="G206" s="11">
        <v>84.5</v>
      </c>
      <c r="H206" s="11">
        <v>84.5</v>
      </c>
      <c r="I206" s="4" t="s">
        <v>1766</v>
      </c>
      <c r="J206" s="4" t="s">
        <v>1767</v>
      </c>
      <c r="K206" s="11">
        <v>0</v>
      </c>
      <c r="L206" s="4"/>
      <c r="M206" s="4"/>
      <c r="N206" s="11">
        <v>0</v>
      </c>
      <c r="O206" s="4"/>
      <c r="P206" s="4"/>
      <c r="Q206" s="11">
        <v>0</v>
      </c>
      <c r="R206" s="4"/>
      <c r="S206" s="12"/>
    </row>
    <row r="207" spans="1:19" x14ac:dyDescent="0.25">
      <c r="A207" s="9" t="s">
        <v>93</v>
      </c>
      <c r="B207" s="9" t="s">
        <v>93</v>
      </c>
      <c r="C207" s="4">
        <v>201001479</v>
      </c>
      <c r="D207" s="4"/>
      <c r="E207" s="4" t="str">
        <f>"030712010"</f>
        <v>030712010</v>
      </c>
      <c r="F207" s="10">
        <v>40197</v>
      </c>
      <c r="G207" s="11">
        <v>25.77</v>
      </c>
      <c r="H207" s="11">
        <v>25.77</v>
      </c>
      <c r="I207" s="4" t="s">
        <v>1766</v>
      </c>
      <c r="J207" s="4" t="s">
        <v>1767</v>
      </c>
      <c r="K207" s="11">
        <v>0</v>
      </c>
      <c r="L207" s="4"/>
      <c r="M207" s="4"/>
      <c r="N207" s="11">
        <v>0</v>
      </c>
      <c r="O207" s="4"/>
      <c r="P207" s="4"/>
      <c r="Q207" s="11">
        <v>0</v>
      </c>
      <c r="R207" s="4"/>
      <c r="S207" s="12"/>
    </row>
    <row r="208" spans="1:19" x14ac:dyDescent="0.25">
      <c r="A208" s="9" t="s">
        <v>93</v>
      </c>
      <c r="B208" s="9" t="s">
        <v>93</v>
      </c>
      <c r="C208" s="4">
        <v>201001657</v>
      </c>
      <c r="D208" s="4"/>
      <c r="E208" s="4" t="str">
        <f>"033482010"</f>
        <v>033482010</v>
      </c>
      <c r="F208" s="10">
        <v>40205</v>
      </c>
      <c r="G208" s="11">
        <v>54.06</v>
      </c>
      <c r="H208" s="11">
        <v>54.06</v>
      </c>
      <c r="I208" s="4" t="s">
        <v>1766</v>
      </c>
      <c r="J208" s="4" t="s">
        <v>1767</v>
      </c>
      <c r="K208" s="11">
        <v>0</v>
      </c>
      <c r="L208" s="4"/>
      <c r="M208" s="4"/>
      <c r="N208" s="11">
        <v>0</v>
      </c>
      <c r="O208" s="4"/>
      <c r="P208" s="4"/>
      <c r="Q208" s="11">
        <v>0</v>
      </c>
      <c r="R208" s="4"/>
      <c r="S208" s="12"/>
    </row>
    <row r="209" spans="1:19" x14ac:dyDescent="0.25">
      <c r="A209" s="9" t="s">
        <v>93</v>
      </c>
      <c r="B209" s="9" t="s">
        <v>93</v>
      </c>
      <c r="C209" s="4">
        <v>201001670</v>
      </c>
      <c r="D209" s="4"/>
      <c r="E209" s="4" t="str">
        <f>"032462010"</f>
        <v>032462010</v>
      </c>
      <c r="F209" s="10">
        <v>40200</v>
      </c>
      <c r="G209" s="11">
        <v>22.5</v>
      </c>
      <c r="H209" s="11">
        <v>22.5</v>
      </c>
      <c r="I209" s="4" t="s">
        <v>1766</v>
      </c>
      <c r="J209" s="4" t="s">
        <v>1767</v>
      </c>
      <c r="K209" s="11">
        <v>0</v>
      </c>
      <c r="L209" s="4"/>
      <c r="M209" s="4"/>
      <c r="N209" s="11">
        <v>0</v>
      </c>
      <c r="O209" s="4"/>
      <c r="P209" s="4"/>
      <c r="Q209" s="11">
        <v>0</v>
      </c>
      <c r="R209" s="4"/>
      <c r="S209" s="12"/>
    </row>
    <row r="210" spans="1:19" x14ac:dyDescent="0.25">
      <c r="A210" s="9" t="s">
        <v>93</v>
      </c>
      <c r="B210" s="9" t="s">
        <v>93</v>
      </c>
      <c r="C210" s="4">
        <v>201001679</v>
      </c>
      <c r="D210" s="4"/>
      <c r="E210" s="4" t="str">
        <f>"032582010"</f>
        <v>032582010</v>
      </c>
      <c r="F210" s="10">
        <v>40200</v>
      </c>
      <c r="G210" s="11">
        <v>51.66</v>
      </c>
      <c r="H210" s="11">
        <v>51.66</v>
      </c>
      <c r="I210" s="4" t="s">
        <v>1766</v>
      </c>
      <c r="J210" s="4" t="s">
        <v>1767</v>
      </c>
      <c r="K210" s="11">
        <v>0</v>
      </c>
      <c r="L210" s="4"/>
      <c r="M210" s="4"/>
      <c r="N210" s="11">
        <v>0</v>
      </c>
      <c r="O210" s="4"/>
      <c r="P210" s="4"/>
      <c r="Q210" s="11">
        <v>0</v>
      </c>
      <c r="R210" s="4"/>
      <c r="S210" s="12"/>
    </row>
    <row r="211" spans="1:19" x14ac:dyDescent="0.25">
      <c r="A211" s="9" t="s">
        <v>93</v>
      </c>
      <c r="B211" s="9" t="s">
        <v>93</v>
      </c>
      <c r="C211" s="4">
        <v>201001685</v>
      </c>
      <c r="D211" s="4"/>
      <c r="E211" s="4" t="str">
        <f>"032862010"</f>
        <v>032862010</v>
      </c>
      <c r="F211" s="10">
        <v>40205</v>
      </c>
      <c r="G211" s="11">
        <v>145.12</v>
      </c>
      <c r="H211" s="11">
        <v>145.12</v>
      </c>
      <c r="I211" s="4" t="s">
        <v>1766</v>
      </c>
      <c r="J211" s="4" t="s">
        <v>1767</v>
      </c>
      <c r="K211" s="11">
        <v>0</v>
      </c>
      <c r="L211" s="4"/>
      <c r="M211" s="4"/>
      <c r="N211" s="11">
        <v>0</v>
      </c>
      <c r="O211" s="4"/>
      <c r="P211" s="4"/>
      <c r="Q211" s="11">
        <v>0</v>
      </c>
      <c r="R211" s="4"/>
      <c r="S211" s="12"/>
    </row>
    <row r="212" spans="1:19" x14ac:dyDescent="0.25">
      <c r="A212" s="9" t="s">
        <v>93</v>
      </c>
      <c r="B212" s="9" t="s">
        <v>93</v>
      </c>
      <c r="C212" s="4">
        <v>201001695</v>
      </c>
      <c r="D212" s="4"/>
      <c r="E212" s="4" t="str">
        <f>"033042010"</f>
        <v>033042010</v>
      </c>
      <c r="F212" s="10">
        <v>40205</v>
      </c>
      <c r="G212" s="11">
        <v>256.92</v>
      </c>
      <c r="H212" s="11">
        <v>256.92</v>
      </c>
      <c r="I212" s="4" t="s">
        <v>1766</v>
      </c>
      <c r="J212" s="4" t="s">
        <v>1767</v>
      </c>
      <c r="K212" s="11">
        <v>0</v>
      </c>
      <c r="L212" s="4"/>
      <c r="M212" s="4"/>
      <c r="N212" s="11">
        <v>0</v>
      </c>
      <c r="O212" s="4"/>
      <c r="P212" s="4"/>
      <c r="Q212" s="11">
        <v>0</v>
      </c>
      <c r="R212" s="4"/>
      <c r="S212" s="12"/>
    </row>
    <row r="213" spans="1:19" x14ac:dyDescent="0.25">
      <c r="A213" s="9" t="s">
        <v>93</v>
      </c>
      <c r="B213" s="9" t="s">
        <v>93</v>
      </c>
      <c r="C213" s="4">
        <v>201001701</v>
      </c>
      <c r="D213" s="4"/>
      <c r="E213" s="4" t="str">
        <f>"033782010"</f>
        <v>033782010</v>
      </c>
      <c r="F213" s="10">
        <v>40205</v>
      </c>
      <c r="G213" s="11">
        <v>37.479999999999997</v>
      </c>
      <c r="H213" s="11">
        <v>37.479999999999997</v>
      </c>
      <c r="I213" s="4" t="s">
        <v>1766</v>
      </c>
      <c r="J213" s="4" t="s">
        <v>1767</v>
      </c>
      <c r="K213" s="11">
        <v>0</v>
      </c>
      <c r="L213" s="4"/>
      <c r="M213" s="4"/>
      <c r="N213" s="11">
        <v>0</v>
      </c>
      <c r="O213" s="4"/>
      <c r="P213" s="4"/>
      <c r="Q213" s="11">
        <v>0</v>
      </c>
      <c r="R213" s="4"/>
      <c r="S213" s="12"/>
    </row>
    <row r="214" spans="1:19" x14ac:dyDescent="0.25">
      <c r="A214" s="9" t="s">
        <v>93</v>
      </c>
      <c r="B214" s="9" t="s">
        <v>93</v>
      </c>
      <c r="C214" s="4">
        <v>201001709</v>
      </c>
      <c r="D214" s="4"/>
      <c r="E214" s="4" t="str">
        <f>"033222010"</f>
        <v>033222010</v>
      </c>
      <c r="F214" s="10">
        <v>40203</v>
      </c>
      <c r="G214" s="11">
        <v>65</v>
      </c>
      <c r="H214" s="11">
        <v>65</v>
      </c>
      <c r="I214" s="4" t="s">
        <v>1766</v>
      </c>
      <c r="J214" s="4" t="s">
        <v>1767</v>
      </c>
      <c r="K214" s="11">
        <v>0</v>
      </c>
      <c r="L214" s="4"/>
      <c r="M214" s="4"/>
      <c r="N214" s="11">
        <v>0</v>
      </c>
      <c r="O214" s="4"/>
      <c r="P214" s="4"/>
      <c r="Q214" s="11">
        <v>0</v>
      </c>
      <c r="R214" s="4"/>
      <c r="S214" s="12"/>
    </row>
    <row r="215" spans="1:19" x14ac:dyDescent="0.25">
      <c r="A215" s="9" t="s">
        <v>93</v>
      </c>
      <c r="B215" s="9" t="s">
        <v>93</v>
      </c>
      <c r="C215" s="4">
        <v>201001815</v>
      </c>
      <c r="D215" s="4"/>
      <c r="E215" s="4" t="str">
        <f>"035442010"</f>
        <v>035442010</v>
      </c>
      <c r="F215" s="10">
        <v>40213</v>
      </c>
      <c r="G215" s="11">
        <v>21</v>
      </c>
      <c r="H215" s="11">
        <v>21</v>
      </c>
      <c r="I215" s="4" t="s">
        <v>1766</v>
      </c>
      <c r="J215" s="4" t="s">
        <v>1767</v>
      </c>
      <c r="K215" s="11">
        <v>0</v>
      </c>
      <c r="L215" s="4"/>
      <c r="M215" s="4"/>
      <c r="N215" s="11">
        <v>0</v>
      </c>
      <c r="O215" s="4"/>
      <c r="P215" s="4"/>
      <c r="Q215" s="11">
        <v>0</v>
      </c>
      <c r="R215" s="4"/>
      <c r="S215" s="12"/>
    </row>
    <row r="216" spans="1:19" x14ac:dyDescent="0.25">
      <c r="A216" s="9" t="s">
        <v>93</v>
      </c>
      <c r="B216" s="9" t="s">
        <v>93</v>
      </c>
      <c r="C216" s="4">
        <v>201001870</v>
      </c>
      <c r="D216" s="4"/>
      <c r="E216" s="4" t="str">
        <f>"077272010"</f>
        <v>077272010</v>
      </c>
      <c r="F216" s="10">
        <v>40344</v>
      </c>
      <c r="G216" s="11">
        <v>275</v>
      </c>
      <c r="H216" s="11">
        <v>275</v>
      </c>
      <c r="I216" s="4" t="s">
        <v>1766</v>
      </c>
      <c r="J216" s="4" t="s">
        <v>1767</v>
      </c>
      <c r="K216" s="11">
        <v>0</v>
      </c>
      <c r="L216" s="4"/>
      <c r="M216" s="4"/>
      <c r="N216" s="11">
        <v>0</v>
      </c>
      <c r="O216" s="4"/>
      <c r="P216" s="4"/>
      <c r="Q216" s="11">
        <v>0</v>
      </c>
      <c r="R216" s="4"/>
      <c r="S216" s="12"/>
    </row>
    <row r="217" spans="1:19" x14ac:dyDescent="0.25">
      <c r="A217" s="9" t="s">
        <v>93</v>
      </c>
      <c r="B217" s="9" t="s">
        <v>93</v>
      </c>
      <c r="C217" s="4">
        <v>201001874</v>
      </c>
      <c r="D217" s="4"/>
      <c r="E217" s="4" t="str">
        <f>"039082010"</f>
        <v>039082010</v>
      </c>
      <c r="F217" s="10">
        <v>40228</v>
      </c>
      <c r="G217" s="11">
        <v>10</v>
      </c>
      <c r="H217" s="11">
        <v>10</v>
      </c>
      <c r="I217" s="4" t="s">
        <v>1766</v>
      </c>
      <c r="J217" s="4" t="s">
        <v>1767</v>
      </c>
      <c r="K217" s="11">
        <v>0</v>
      </c>
      <c r="L217" s="4"/>
      <c r="M217" s="4"/>
      <c r="N217" s="11">
        <v>0</v>
      </c>
      <c r="O217" s="4"/>
      <c r="P217" s="4"/>
      <c r="Q217" s="11">
        <v>0</v>
      </c>
      <c r="R217" s="4"/>
      <c r="S217" s="12"/>
    </row>
    <row r="218" spans="1:19" x14ac:dyDescent="0.25">
      <c r="A218" s="9" t="s">
        <v>93</v>
      </c>
      <c r="B218" s="9" t="s">
        <v>93</v>
      </c>
      <c r="C218" s="4">
        <v>201001929</v>
      </c>
      <c r="D218" s="4"/>
      <c r="E218" s="4" t="str">
        <f>"039142010"</f>
        <v>039142010</v>
      </c>
      <c r="F218" s="10">
        <v>40228</v>
      </c>
      <c r="G218" s="11">
        <v>25</v>
      </c>
      <c r="H218" s="11">
        <v>25</v>
      </c>
      <c r="I218" s="4" t="s">
        <v>1766</v>
      </c>
      <c r="J218" s="4" t="s">
        <v>1767</v>
      </c>
      <c r="K218" s="11">
        <v>0</v>
      </c>
      <c r="L218" s="4"/>
      <c r="M218" s="4"/>
      <c r="N218" s="11">
        <v>0</v>
      </c>
      <c r="O218" s="4"/>
      <c r="P218" s="4"/>
      <c r="Q218" s="11">
        <v>0</v>
      </c>
      <c r="R218" s="4"/>
      <c r="S218" s="12"/>
    </row>
    <row r="219" spans="1:19" x14ac:dyDescent="0.25">
      <c r="A219" s="9" t="s">
        <v>93</v>
      </c>
      <c r="B219" s="9" t="s">
        <v>93</v>
      </c>
      <c r="C219" s="4">
        <v>201001998</v>
      </c>
      <c r="D219" s="4"/>
      <c r="E219" s="4" t="str">
        <f>"040202010"</f>
        <v>040202010</v>
      </c>
      <c r="F219" s="10">
        <v>40232</v>
      </c>
      <c r="G219" s="11">
        <v>20</v>
      </c>
      <c r="H219" s="11">
        <v>20</v>
      </c>
      <c r="I219" s="4" t="s">
        <v>1766</v>
      </c>
      <c r="J219" s="4" t="s">
        <v>1767</v>
      </c>
      <c r="K219" s="11">
        <v>0</v>
      </c>
      <c r="L219" s="4"/>
      <c r="M219" s="4"/>
      <c r="N219" s="11">
        <v>0</v>
      </c>
      <c r="O219" s="4"/>
      <c r="P219" s="4"/>
      <c r="Q219" s="11">
        <v>0</v>
      </c>
      <c r="R219" s="4"/>
      <c r="S219" s="12"/>
    </row>
    <row r="220" spans="1:19" x14ac:dyDescent="0.25">
      <c r="A220" s="9" t="s">
        <v>93</v>
      </c>
      <c r="B220" s="9" t="s">
        <v>93</v>
      </c>
      <c r="C220" s="4">
        <v>201002009</v>
      </c>
      <c r="D220" s="4"/>
      <c r="E220" s="4" t="str">
        <f>"039422010"</f>
        <v>039422010</v>
      </c>
      <c r="F220" s="10">
        <v>40232</v>
      </c>
      <c r="G220" s="11">
        <v>13.61</v>
      </c>
      <c r="H220" s="11">
        <v>13.61</v>
      </c>
      <c r="I220" s="4" t="s">
        <v>1766</v>
      </c>
      <c r="J220" s="4" t="s">
        <v>1767</v>
      </c>
      <c r="K220" s="11">
        <v>0</v>
      </c>
      <c r="L220" s="4"/>
      <c r="M220" s="4"/>
      <c r="N220" s="11">
        <v>0</v>
      </c>
      <c r="O220" s="4"/>
      <c r="P220" s="4"/>
      <c r="Q220" s="11">
        <v>0</v>
      </c>
      <c r="R220" s="4"/>
      <c r="S220" s="12"/>
    </row>
    <row r="221" spans="1:19" x14ac:dyDescent="0.25">
      <c r="A221" s="9" t="s">
        <v>93</v>
      </c>
      <c r="B221" s="9" t="s">
        <v>93</v>
      </c>
      <c r="C221" s="4">
        <v>201002139</v>
      </c>
      <c r="D221" s="4"/>
      <c r="E221" s="4" t="str">
        <f>"041852010"</f>
        <v>041852010</v>
      </c>
      <c r="F221" s="10">
        <v>40240</v>
      </c>
      <c r="G221" s="11">
        <v>9</v>
      </c>
      <c r="H221" s="11">
        <v>9</v>
      </c>
      <c r="I221" s="4" t="s">
        <v>1766</v>
      </c>
      <c r="J221" s="4" t="s">
        <v>1767</v>
      </c>
      <c r="K221" s="11">
        <v>0</v>
      </c>
      <c r="L221" s="4"/>
      <c r="M221" s="4"/>
      <c r="N221" s="11">
        <v>0</v>
      </c>
      <c r="O221" s="4"/>
      <c r="P221" s="4"/>
      <c r="Q221" s="11">
        <v>0</v>
      </c>
      <c r="R221" s="4"/>
      <c r="S221" s="12"/>
    </row>
    <row r="222" spans="1:19" x14ac:dyDescent="0.25">
      <c r="A222" s="9" t="s">
        <v>93</v>
      </c>
      <c r="B222" s="9" t="s">
        <v>93</v>
      </c>
      <c r="C222" s="4">
        <v>201002152</v>
      </c>
      <c r="D222" s="4"/>
      <c r="E222" s="4" t="str">
        <f>"042112010"</f>
        <v>042112010</v>
      </c>
      <c r="F222" s="10">
        <v>40240</v>
      </c>
      <c r="G222" s="11">
        <v>41.2</v>
      </c>
      <c r="H222" s="11">
        <v>41.2</v>
      </c>
      <c r="I222" s="4" t="s">
        <v>1766</v>
      </c>
      <c r="J222" s="4" t="s">
        <v>1767</v>
      </c>
      <c r="K222" s="11">
        <v>0</v>
      </c>
      <c r="L222" s="4"/>
      <c r="M222" s="4"/>
      <c r="N222" s="11">
        <v>0</v>
      </c>
      <c r="O222" s="4"/>
      <c r="P222" s="4"/>
      <c r="Q222" s="11">
        <v>0</v>
      </c>
      <c r="R222" s="4"/>
      <c r="S222" s="12"/>
    </row>
    <row r="223" spans="1:19" x14ac:dyDescent="0.25">
      <c r="A223" s="9" t="s">
        <v>93</v>
      </c>
      <c r="B223" s="9" t="s">
        <v>93</v>
      </c>
      <c r="C223" s="4">
        <v>201002173</v>
      </c>
      <c r="D223" s="4"/>
      <c r="E223" s="4" t="str">
        <f>"042812010"</f>
        <v>042812010</v>
      </c>
      <c r="F223" s="10">
        <v>40246</v>
      </c>
      <c r="G223" s="11">
        <v>197.65</v>
      </c>
      <c r="H223" s="11">
        <v>197.65</v>
      </c>
      <c r="I223" s="4" t="s">
        <v>1766</v>
      </c>
      <c r="J223" s="4" t="s">
        <v>1767</v>
      </c>
      <c r="K223" s="11">
        <v>0</v>
      </c>
      <c r="L223" s="4"/>
      <c r="M223" s="4"/>
      <c r="N223" s="11">
        <v>0</v>
      </c>
      <c r="O223" s="4"/>
      <c r="P223" s="4"/>
      <c r="Q223" s="11">
        <v>0</v>
      </c>
      <c r="R223" s="4"/>
      <c r="S223" s="12"/>
    </row>
    <row r="224" spans="1:19" x14ac:dyDescent="0.25">
      <c r="A224" s="9" t="s">
        <v>93</v>
      </c>
      <c r="B224" s="9" t="s">
        <v>93</v>
      </c>
      <c r="C224" s="4">
        <v>201002174</v>
      </c>
      <c r="D224" s="4"/>
      <c r="E224" s="4" t="str">
        <f>"042772010"</f>
        <v>042772010</v>
      </c>
      <c r="F224" s="10">
        <v>40246</v>
      </c>
      <c r="G224" s="11">
        <v>45.29</v>
      </c>
      <c r="H224" s="11">
        <v>45.29</v>
      </c>
      <c r="I224" s="4" t="s">
        <v>1766</v>
      </c>
      <c r="J224" s="4" t="s">
        <v>1767</v>
      </c>
      <c r="K224" s="11">
        <v>0</v>
      </c>
      <c r="L224" s="4"/>
      <c r="M224" s="4"/>
      <c r="N224" s="11">
        <v>0</v>
      </c>
      <c r="O224" s="4"/>
      <c r="P224" s="4"/>
      <c r="Q224" s="11">
        <v>0</v>
      </c>
      <c r="R224" s="4"/>
      <c r="S224" s="12"/>
    </row>
    <row r="225" spans="1:19" x14ac:dyDescent="0.25">
      <c r="A225" s="9" t="s">
        <v>93</v>
      </c>
      <c r="B225" s="9" t="s">
        <v>93</v>
      </c>
      <c r="C225" s="4">
        <v>201002176</v>
      </c>
      <c r="D225" s="4"/>
      <c r="E225" s="4" t="str">
        <f>"042612010"</f>
        <v>042612010</v>
      </c>
      <c r="F225" s="10">
        <v>40246</v>
      </c>
      <c r="G225" s="11">
        <v>35.03</v>
      </c>
      <c r="H225" s="11">
        <v>35.03</v>
      </c>
      <c r="I225" s="4" t="s">
        <v>1766</v>
      </c>
      <c r="J225" s="4" t="s">
        <v>1767</v>
      </c>
      <c r="K225" s="11">
        <v>0</v>
      </c>
      <c r="L225" s="4"/>
      <c r="M225" s="4"/>
      <c r="N225" s="11">
        <v>0</v>
      </c>
      <c r="O225" s="4"/>
      <c r="P225" s="4"/>
      <c r="Q225" s="11">
        <v>0</v>
      </c>
      <c r="R225" s="4"/>
      <c r="S225" s="12"/>
    </row>
    <row r="226" spans="1:19" x14ac:dyDescent="0.25">
      <c r="A226" s="9" t="s">
        <v>93</v>
      </c>
      <c r="B226" s="9" t="s">
        <v>93</v>
      </c>
      <c r="C226" s="4">
        <v>201002178</v>
      </c>
      <c r="D226" s="4"/>
      <c r="E226" s="4" t="str">
        <f>"042732010"</f>
        <v>042732010</v>
      </c>
      <c r="F226" s="10">
        <v>40246</v>
      </c>
      <c r="G226" s="11">
        <v>88.06</v>
      </c>
      <c r="H226" s="11">
        <v>88.06</v>
      </c>
      <c r="I226" s="4" t="s">
        <v>1766</v>
      </c>
      <c r="J226" s="4" t="s">
        <v>1767</v>
      </c>
      <c r="K226" s="11">
        <v>0</v>
      </c>
      <c r="L226" s="4"/>
      <c r="M226" s="4"/>
      <c r="N226" s="11">
        <v>0</v>
      </c>
      <c r="O226" s="4"/>
      <c r="P226" s="4"/>
      <c r="Q226" s="11">
        <v>0</v>
      </c>
      <c r="R226" s="4"/>
      <c r="S226" s="12"/>
    </row>
    <row r="227" spans="1:19" x14ac:dyDescent="0.25">
      <c r="A227" s="9" t="s">
        <v>93</v>
      </c>
      <c r="B227" s="9" t="s">
        <v>93</v>
      </c>
      <c r="C227" s="4">
        <v>201002181</v>
      </c>
      <c r="D227" s="4"/>
      <c r="E227" s="4" t="str">
        <f>"042592010"</f>
        <v>042592010</v>
      </c>
      <c r="F227" s="10">
        <v>40246</v>
      </c>
      <c r="G227" s="11">
        <v>40</v>
      </c>
      <c r="H227" s="11">
        <v>40</v>
      </c>
      <c r="I227" s="4" t="s">
        <v>1766</v>
      </c>
      <c r="J227" s="4" t="s">
        <v>1767</v>
      </c>
      <c r="K227" s="11">
        <v>0</v>
      </c>
      <c r="L227" s="4"/>
      <c r="M227" s="4"/>
      <c r="N227" s="11">
        <v>0</v>
      </c>
      <c r="O227" s="4"/>
      <c r="P227" s="4"/>
      <c r="Q227" s="11">
        <v>0</v>
      </c>
      <c r="R227" s="4"/>
      <c r="S227" s="12"/>
    </row>
    <row r="228" spans="1:19" x14ac:dyDescent="0.25">
      <c r="A228" s="9" t="s">
        <v>93</v>
      </c>
      <c r="B228" s="9" t="s">
        <v>93</v>
      </c>
      <c r="C228" s="4">
        <v>201002222</v>
      </c>
      <c r="D228" s="4"/>
      <c r="E228" s="4" t="str">
        <f>"043772010"</f>
        <v>043772010</v>
      </c>
      <c r="F228" s="10">
        <v>40241</v>
      </c>
      <c r="G228" s="11">
        <v>173.6</v>
      </c>
      <c r="H228" s="11">
        <v>173.6</v>
      </c>
      <c r="I228" s="4" t="s">
        <v>1766</v>
      </c>
      <c r="J228" s="4" t="s">
        <v>1767</v>
      </c>
      <c r="K228" s="11">
        <v>0</v>
      </c>
      <c r="L228" s="4"/>
      <c r="M228" s="4"/>
      <c r="N228" s="11">
        <v>0</v>
      </c>
      <c r="O228" s="4"/>
      <c r="P228" s="4"/>
      <c r="Q228" s="11">
        <v>0</v>
      </c>
      <c r="R228" s="4"/>
      <c r="S228" s="12"/>
    </row>
    <row r="229" spans="1:19" x14ac:dyDescent="0.25">
      <c r="A229" s="9" t="s">
        <v>93</v>
      </c>
      <c r="B229" s="9" t="s">
        <v>93</v>
      </c>
      <c r="C229" s="4">
        <v>201002231</v>
      </c>
      <c r="D229" s="4"/>
      <c r="E229" s="4" t="str">
        <f>"043652010"</f>
        <v>043652010</v>
      </c>
      <c r="F229" s="10">
        <v>40241</v>
      </c>
      <c r="G229" s="11">
        <v>61.05</v>
      </c>
      <c r="H229" s="11">
        <v>61.05</v>
      </c>
      <c r="I229" s="4" t="s">
        <v>1766</v>
      </c>
      <c r="J229" s="4" t="s">
        <v>1767</v>
      </c>
      <c r="K229" s="11">
        <v>0</v>
      </c>
      <c r="L229" s="4"/>
      <c r="M229" s="4"/>
      <c r="N229" s="11">
        <v>0</v>
      </c>
      <c r="O229" s="4"/>
      <c r="P229" s="4"/>
      <c r="Q229" s="11">
        <v>0</v>
      </c>
      <c r="R229" s="4"/>
      <c r="S229" s="12"/>
    </row>
    <row r="230" spans="1:19" x14ac:dyDescent="0.25">
      <c r="A230" s="9" t="s">
        <v>93</v>
      </c>
      <c r="B230" s="9" t="s">
        <v>93</v>
      </c>
      <c r="C230" s="4">
        <v>201002233</v>
      </c>
      <c r="D230" s="4"/>
      <c r="E230" s="4" t="str">
        <f>"046342010"</f>
        <v>046342010</v>
      </c>
      <c r="F230" s="10">
        <v>40252</v>
      </c>
      <c r="G230" s="11">
        <v>38</v>
      </c>
      <c r="H230" s="11">
        <v>38</v>
      </c>
      <c r="I230" s="4" t="s">
        <v>1766</v>
      </c>
      <c r="J230" s="4" t="s">
        <v>1767</v>
      </c>
      <c r="K230" s="11">
        <v>0</v>
      </c>
      <c r="L230" s="4"/>
      <c r="M230" s="4"/>
      <c r="N230" s="11">
        <v>0</v>
      </c>
      <c r="O230" s="4"/>
      <c r="P230" s="4"/>
      <c r="Q230" s="11">
        <v>0</v>
      </c>
      <c r="R230" s="4"/>
      <c r="S230" s="12"/>
    </row>
    <row r="231" spans="1:19" x14ac:dyDescent="0.25">
      <c r="A231" s="9" t="s">
        <v>93</v>
      </c>
      <c r="B231" s="9" t="s">
        <v>93</v>
      </c>
      <c r="C231" s="4">
        <v>201002257</v>
      </c>
      <c r="D231" s="4"/>
      <c r="E231" s="4" t="str">
        <f>"044242010"</f>
        <v>044242010</v>
      </c>
      <c r="F231" s="10">
        <v>40245</v>
      </c>
      <c r="G231" s="11">
        <v>19.649999999999999</v>
      </c>
      <c r="H231" s="11">
        <v>19.649999999999999</v>
      </c>
      <c r="I231" s="4" t="s">
        <v>1766</v>
      </c>
      <c r="J231" s="4" t="s">
        <v>1767</v>
      </c>
      <c r="K231" s="11">
        <v>0</v>
      </c>
      <c r="L231" s="4"/>
      <c r="M231" s="4"/>
      <c r="N231" s="11">
        <v>0</v>
      </c>
      <c r="O231" s="4"/>
      <c r="P231" s="4"/>
      <c r="Q231" s="11">
        <v>0</v>
      </c>
      <c r="R231" s="4"/>
      <c r="S231" s="12"/>
    </row>
    <row r="232" spans="1:19" x14ac:dyDescent="0.25">
      <c r="A232" s="9" t="s">
        <v>93</v>
      </c>
      <c r="B232" s="9" t="s">
        <v>93</v>
      </c>
      <c r="C232" s="4">
        <v>201002297</v>
      </c>
      <c r="D232" s="4"/>
      <c r="E232" s="4" t="str">
        <f>"044742010"</f>
        <v>044742010</v>
      </c>
      <c r="F232" s="10">
        <v>40245</v>
      </c>
      <c r="G232" s="11">
        <v>30</v>
      </c>
      <c r="H232" s="11">
        <v>30</v>
      </c>
      <c r="I232" s="4" t="s">
        <v>1766</v>
      </c>
      <c r="J232" s="4" t="s">
        <v>1767</v>
      </c>
      <c r="K232" s="11">
        <v>0</v>
      </c>
      <c r="L232" s="4"/>
      <c r="M232" s="4"/>
      <c r="N232" s="11">
        <v>0</v>
      </c>
      <c r="O232" s="4"/>
      <c r="P232" s="4"/>
      <c r="Q232" s="11">
        <v>0</v>
      </c>
      <c r="R232" s="4"/>
      <c r="S232" s="12"/>
    </row>
    <row r="233" spans="1:19" x14ac:dyDescent="0.25">
      <c r="A233" s="9" t="s">
        <v>93</v>
      </c>
      <c r="B233" s="9" t="s">
        <v>93</v>
      </c>
      <c r="C233" s="4">
        <v>201002305</v>
      </c>
      <c r="D233" s="4"/>
      <c r="E233" s="4" t="str">
        <f>"086012010"</f>
        <v>086012010</v>
      </c>
      <c r="F233" s="10">
        <v>40357</v>
      </c>
      <c r="G233" s="11">
        <v>99.65</v>
      </c>
      <c r="H233" s="11">
        <v>99.65</v>
      </c>
      <c r="I233" s="4" t="s">
        <v>1766</v>
      </c>
      <c r="J233" s="4" t="s">
        <v>1767</v>
      </c>
      <c r="K233" s="11">
        <v>0</v>
      </c>
      <c r="L233" s="4"/>
      <c r="M233" s="4"/>
      <c r="N233" s="11">
        <v>0</v>
      </c>
      <c r="O233" s="4"/>
      <c r="P233" s="4"/>
      <c r="Q233" s="11">
        <v>0</v>
      </c>
      <c r="R233" s="4"/>
      <c r="S233" s="12"/>
    </row>
    <row r="234" spans="1:19" x14ac:dyDescent="0.25">
      <c r="A234" s="9" t="s">
        <v>93</v>
      </c>
      <c r="B234" s="9" t="s">
        <v>93</v>
      </c>
      <c r="C234" s="4">
        <v>201002306</v>
      </c>
      <c r="D234" s="4"/>
      <c r="E234" s="4" t="str">
        <f>"045362010"</f>
        <v>045362010</v>
      </c>
      <c r="F234" s="10">
        <v>40247</v>
      </c>
      <c r="G234" s="11">
        <v>120.55</v>
      </c>
      <c r="H234" s="11">
        <v>120.55</v>
      </c>
      <c r="I234" s="4" t="s">
        <v>1766</v>
      </c>
      <c r="J234" s="4" t="s">
        <v>1767</v>
      </c>
      <c r="K234" s="11">
        <v>0</v>
      </c>
      <c r="L234" s="4"/>
      <c r="M234" s="4"/>
      <c r="N234" s="11">
        <v>0</v>
      </c>
      <c r="O234" s="4"/>
      <c r="P234" s="4"/>
      <c r="Q234" s="11">
        <v>0</v>
      </c>
      <c r="R234" s="4"/>
      <c r="S234" s="12"/>
    </row>
    <row r="235" spans="1:19" x14ac:dyDescent="0.25">
      <c r="A235" s="9" t="s">
        <v>93</v>
      </c>
      <c r="B235" s="9" t="s">
        <v>93</v>
      </c>
      <c r="C235" s="4">
        <v>201002339</v>
      </c>
      <c r="D235" s="4"/>
      <c r="E235" s="4" t="str">
        <f>"046422010"</f>
        <v>046422010</v>
      </c>
      <c r="F235" s="10">
        <v>40252</v>
      </c>
      <c r="G235" s="11">
        <v>15.2</v>
      </c>
      <c r="H235" s="11">
        <v>15.2</v>
      </c>
      <c r="I235" s="4" t="s">
        <v>1766</v>
      </c>
      <c r="J235" s="4" t="s">
        <v>1767</v>
      </c>
      <c r="K235" s="11">
        <v>0</v>
      </c>
      <c r="L235" s="4"/>
      <c r="M235" s="4"/>
      <c r="N235" s="11">
        <v>0</v>
      </c>
      <c r="O235" s="4"/>
      <c r="P235" s="4"/>
      <c r="Q235" s="11">
        <v>0</v>
      </c>
      <c r="R235" s="4"/>
      <c r="S235" s="12"/>
    </row>
    <row r="236" spans="1:19" x14ac:dyDescent="0.25">
      <c r="A236" s="9" t="s">
        <v>93</v>
      </c>
      <c r="B236" s="9" t="s">
        <v>93</v>
      </c>
      <c r="C236" s="4">
        <v>201002364</v>
      </c>
      <c r="D236" s="4"/>
      <c r="E236" s="4" t="str">
        <f>"047322010"</f>
        <v>047322010</v>
      </c>
      <c r="F236" s="10">
        <v>40253</v>
      </c>
      <c r="G236" s="11">
        <v>66.959999999999994</v>
      </c>
      <c r="H236" s="11">
        <v>66.959999999999994</v>
      </c>
      <c r="I236" s="4" t="s">
        <v>1766</v>
      </c>
      <c r="J236" s="4" t="s">
        <v>1767</v>
      </c>
      <c r="K236" s="11">
        <v>0</v>
      </c>
      <c r="L236" s="4"/>
      <c r="M236" s="4"/>
      <c r="N236" s="11">
        <v>0</v>
      </c>
      <c r="O236" s="4"/>
      <c r="P236" s="4"/>
      <c r="Q236" s="11">
        <v>0</v>
      </c>
      <c r="R236" s="4"/>
      <c r="S236" s="12"/>
    </row>
    <row r="237" spans="1:19" x14ac:dyDescent="0.25">
      <c r="A237" s="9" t="s">
        <v>93</v>
      </c>
      <c r="B237" s="9" t="s">
        <v>93</v>
      </c>
      <c r="C237" s="4">
        <v>201002368</v>
      </c>
      <c r="D237" s="4"/>
      <c r="E237" s="4" t="str">
        <f>"047342010"</f>
        <v>047342010</v>
      </c>
      <c r="F237" s="10">
        <v>40253</v>
      </c>
      <c r="G237" s="11">
        <v>100</v>
      </c>
      <c r="H237" s="11">
        <v>100</v>
      </c>
      <c r="I237" s="4" t="s">
        <v>1766</v>
      </c>
      <c r="J237" s="4" t="s">
        <v>1767</v>
      </c>
      <c r="K237" s="11">
        <v>0</v>
      </c>
      <c r="L237" s="4"/>
      <c r="M237" s="4"/>
      <c r="N237" s="11">
        <v>0</v>
      </c>
      <c r="O237" s="4"/>
      <c r="P237" s="4"/>
      <c r="Q237" s="11">
        <v>0</v>
      </c>
      <c r="R237" s="4"/>
      <c r="S237" s="12"/>
    </row>
    <row r="238" spans="1:19" x14ac:dyDescent="0.25">
      <c r="A238" s="9" t="s">
        <v>93</v>
      </c>
      <c r="B238" s="9" t="s">
        <v>93</v>
      </c>
      <c r="C238" s="4">
        <v>201002369</v>
      </c>
      <c r="D238" s="4"/>
      <c r="E238" s="4" t="str">
        <f>"047242010"</f>
        <v>047242010</v>
      </c>
      <c r="F238" s="10">
        <v>40253</v>
      </c>
      <c r="G238" s="11">
        <v>22.77</v>
      </c>
      <c r="H238" s="11">
        <v>22.77</v>
      </c>
      <c r="I238" s="4" t="s">
        <v>1766</v>
      </c>
      <c r="J238" s="4" t="s">
        <v>1767</v>
      </c>
      <c r="K238" s="11">
        <v>0</v>
      </c>
      <c r="L238" s="4"/>
      <c r="M238" s="4"/>
      <c r="N238" s="11">
        <v>0</v>
      </c>
      <c r="O238" s="4"/>
      <c r="P238" s="4"/>
      <c r="Q238" s="11">
        <v>0</v>
      </c>
      <c r="R238" s="4"/>
      <c r="S238" s="12"/>
    </row>
    <row r="239" spans="1:19" x14ac:dyDescent="0.25">
      <c r="A239" s="9" t="s">
        <v>93</v>
      </c>
      <c r="B239" s="9" t="s">
        <v>93</v>
      </c>
      <c r="C239" s="4">
        <v>201002393</v>
      </c>
      <c r="D239" s="4"/>
      <c r="E239" s="4" t="str">
        <f>"047002010"</f>
        <v>047002010</v>
      </c>
      <c r="F239" s="10">
        <v>40253</v>
      </c>
      <c r="G239" s="11">
        <v>117.2</v>
      </c>
      <c r="H239" s="11">
        <v>117.2</v>
      </c>
      <c r="I239" s="4" t="s">
        <v>1766</v>
      </c>
      <c r="J239" s="4" t="s">
        <v>1767</v>
      </c>
      <c r="K239" s="11">
        <v>0</v>
      </c>
      <c r="L239" s="4"/>
      <c r="M239" s="4"/>
      <c r="N239" s="11">
        <v>0</v>
      </c>
      <c r="O239" s="4"/>
      <c r="P239" s="4"/>
      <c r="Q239" s="11">
        <v>0</v>
      </c>
      <c r="R239" s="4"/>
      <c r="S239" s="12"/>
    </row>
    <row r="240" spans="1:19" x14ac:dyDescent="0.25">
      <c r="A240" s="9" t="s">
        <v>93</v>
      </c>
      <c r="B240" s="9" t="s">
        <v>93</v>
      </c>
      <c r="C240" s="4">
        <v>201002412</v>
      </c>
      <c r="D240" s="4"/>
      <c r="E240" s="4" t="str">
        <f>"047742010"</f>
        <v>047742010</v>
      </c>
      <c r="F240" s="10">
        <v>40255</v>
      </c>
      <c r="G240" s="11">
        <v>20</v>
      </c>
      <c r="H240" s="11">
        <v>20</v>
      </c>
      <c r="I240" s="4" t="s">
        <v>1766</v>
      </c>
      <c r="J240" s="4" t="s">
        <v>1767</v>
      </c>
      <c r="K240" s="11">
        <v>0</v>
      </c>
      <c r="L240" s="4"/>
      <c r="M240" s="4"/>
      <c r="N240" s="11">
        <v>0</v>
      </c>
      <c r="O240" s="4"/>
      <c r="P240" s="4"/>
      <c r="Q240" s="11">
        <v>0</v>
      </c>
      <c r="R240" s="4"/>
      <c r="S240" s="12"/>
    </row>
    <row r="241" spans="1:19" x14ac:dyDescent="0.25">
      <c r="A241" s="9" t="s">
        <v>93</v>
      </c>
      <c r="B241" s="9" t="s">
        <v>93</v>
      </c>
      <c r="C241" s="4">
        <v>201002515</v>
      </c>
      <c r="D241" s="4"/>
      <c r="E241" s="4" t="str">
        <f>"055572010"</f>
        <v>055572010</v>
      </c>
      <c r="F241" s="10">
        <v>40273</v>
      </c>
      <c r="G241" s="11">
        <v>2550</v>
      </c>
      <c r="H241" s="11">
        <v>2550</v>
      </c>
      <c r="I241" s="4" t="s">
        <v>54</v>
      </c>
      <c r="J241" s="4" t="s">
        <v>55</v>
      </c>
      <c r="K241" s="11">
        <v>0</v>
      </c>
      <c r="L241" s="4"/>
      <c r="M241" s="4"/>
      <c r="N241" s="11">
        <v>0</v>
      </c>
      <c r="O241" s="4"/>
      <c r="P241" s="4"/>
      <c r="Q241" s="11">
        <v>0</v>
      </c>
      <c r="R241" s="4"/>
      <c r="S241" s="12"/>
    </row>
    <row r="242" spans="1:19" x14ac:dyDescent="0.25">
      <c r="A242" s="9" t="s">
        <v>93</v>
      </c>
      <c r="B242" s="9" t="s">
        <v>93</v>
      </c>
      <c r="C242" s="4">
        <v>201002544</v>
      </c>
      <c r="D242" s="4"/>
      <c r="E242" s="4" t="str">
        <f>"050482010"</f>
        <v>050482010</v>
      </c>
      <c r="F242" s="10">
        <v>40262</v>
      </c>
      <c r="G242" s="11">
        <v>60.5</v>
      </c>
      <c r="H242" s="11">
        <v>60.5</v>
      </c>
      <c r="I242" s="4" t="s">
        <v>1766</v>
      </c>
      <c r="J242" s="4" t="s">
        <v>1767</v>
      </c>
      <c r="K242" s="11">
        <v>0</v>
      </c>
      <c r="L242" s="4"/>
      <c r="M242" s="4"/>
      <c r="N242" s="11">
        <v>0</v>
      </c>
      <c r="O242" s="4"/>
      <c r="P242" s="4"/>
      <c r="Q242" s="11">
        <v>0</v>
      </c>
      <c r="R242" s="4"/>
      <c r="S242" s="12"/>
    </row>
    <row r="243" spans="1:19" x14ac:dyDescent="0.25">
      <c r="A243" s="9" t="s">
        <v>93</v>
      </c>
      <c r="B243" s="9" t="s">
        <v>93</v>
      </c>
      <c r="C243" s="4">
        <v>201002562</v>
      </c>
      <c r="D243" s="4"/>
      <c r="E243" s="4" t="str">
        <f>"050802010"</f>
        <v>050802010</v>
      </c>
      <c r="F243" s="10">
        <v>40262</v>
      </c>
      <c r="G243" s="11">
        <v>51.02</v>
      </c>
      <c r="H243" s="11">
        <v>51.02</v>
      </c>
      <c r="I243" s="4" t="s">
        <v>1766</v>
      </c>
      <c r="J243" s="4" t="s">
        <v>1767</v>
      </c>
      <c r="K243" s="11">
        <v>0</v>
      </c>
      <c r="L243" s="4"/>
      <c r="M243" s="4"/>
      <c r="N243" s="11">
        <v>0</v>
      </c>
      <c r="O243" s="4"/>
      <c r="P243" s="4"/>
      <c r="Q243" s="11">
        <v>0</v>
      </c>
      <c r="R243" s="4"/>
      <c r="S243" s="12"/>
    </row>
    <row r="244" spans="1:19" x14ac:dyDescent="0.25">
      <c r="A244" s="9" t="s">
        <v>93</v>
      </c>
      <c r="B244" s="9" t="s">
        <v>93</v>
      </c>
      <c r="C244" s="4">
        <v>201002564</v>
      </c>
      <c r="D244" s="4"/>
      <c r="E244" s="4" t="str">
        <f>"051042010"</f>
        <v>051042010</v>
      </c>
      <c r="F244" s="10">
        <v>40262</v>
      </c>
      <c r="G244" s="11">
        <v>82.3</v>
      </c>
      <c r="H244" s="11">
        <v>82.3</v>
      </c>
      <c r="I244" s="4" t="s">
        <v>1766</v>
      </c>
      <c r="J244" s="4" t="s">
        <v>1767</v>
      </c>
      <c r="K244" s="11">
        <v>0</v>
      </c>
      <c r="L244" s="4"/>
      <c r="M244" s="4"/>
      <c r="N244" s="11">
        <v>0</v>
      </c>
      <c r="O244" s="4"/>
      <c r="P244" s="4"/>
      <c r="Q244" s="11">
        <v>0</v>
      </c>
      <c r="R244" s="4"/>
      <c r="S244" s="12"/>
    </row>
    <row r="245" spans="1:19" x14ac:dyDescent="0.25">
      <c r="A245" s="9" t="s">
        <v>93</v>
      </c>
      <c r="B245" s="9" t="s">
        <v>93</v>
      </c>
      <c r="C245" s="4">
        <v>201002570</v>
      </c>
      <c r="D245" s="4"/>
      <c r="E245" s="4" t="str">
        <f>"050922010"</f>
        <v>050922010</v>
      </c>
      <c r="F245" s="10">
        <v>40262</v>
      </c>
      <c r="G245" s="11">
        <v>69.45</v>
      </c>
      <c r="H245" s="11">
        <v>69.45</v>
      </c>
      <c r="I245" s="4" t="s">
        <v>1766</v>
      </c>
      <c r="J245" s="4" t="s">
        <v>1767</v>
      </c>
      <c r="K245" s="11">
        <v>0</v>
      </c>
      <c r="L245" s="4"/>
      <c r="M245" s="4"/>
      <c r="N245" s="11">
        <v>0</v>
      </c>
      <c r="O245" s="4"/>
      <c r="P245" s="4"/>
      <c r="Q245" s="11">
        <v>0</v>
      </c>
      <c r="R245" s="4"/>
      <c r="S245" s="12"/>
    </row>
    <row r="246" spans="1:19" x14ac:dyDescent="0.25">
      <c r="A246" s="9" t="s">
        <v>93</v>
      </c>
      <c r="B246" s="9" t="s">
        <v>93</v>
      </c>
      <c r="C246" s="4">
        <v>201002571</v>
      </c>
      <c r="D246" s="4"/>
      <c r="E246" s="4" t="str">
        <f>"057162010"</f>
        <v>057162010</v>
      </c>
      <c r="F246" s="10">
        <v>40281</v>
      </c>
      <c r="G246" s="11">
        <v>31.35</v>
      </c>
      <c r="H246" s="11">
        <v>31.35</v>
      </c>
      <c r="I246" s="4" t="s">
        <v>1766</v>
      </c>
      <c r="J246" s="4" t="s">
        <v>1767</v>
      </c>
      <c r="K246" s="11">
        <v>0</v>
      </c>
      <c r="L246" s="4"/>
      <c r="M246" s="4"/>
      <c r="N246" s="11">
        <v>0</v>
      </c>
      <c r="O246" s="4"/>
      <c r="P246" s="4"/>
      <c r="Q246" s="11">
        <v>0</v>
      </c>
      <c r="R246" s="4"/>
      <c r="S246" s="12"/>
    </row>
    <row r="247" spans="1:19" x14ac:dyDescent="0.25">
      <c r="A247" s="9" t="s">
        <v>93</v>
      </c>
      <c r="B247" s="9" t="s">
        <v>93</v>
      </c>
      <c r="C247" s="4">
        <v>201002580</v>
      </c>
      <c r="D247" s="4"/>
      <c r="E247" s="4" t="str">
        <f>"051122010"</f>
        <v>051122010</v>
      </c>
      <c r="F247" s="10">
        <v>40262</v>
      </c>
      <c r="G247" s="11">
        <v>84</v>
      </c>
      <c r="H247" s="11">
        <v>84</v>
      </c>
      <c r="I247" s="4" t="s">
        <v>1766</v>
      </c>
      <c r="J247" s="4" t="s">
        <v>1767</v>
      </c>
      <c r="K247" s="11">
        <v>0</v>
      </c>
      <c r="L247" s="4"/>
      <c r="M247" s="4"/>
      <c r="N247" s="11">
        <v>0</v>
      </c>
      <c r="O247" s="4"/>
      <c r="P247" s="4"/>
      <c r="Q247" s="11">
        <v>0</v>
      </c>
      <c r="R247" s="4"/>
      <c r="S247" s="12"/>
    </row>
    <row r="248" spans="1:19" x14ac:dyDescent="0.25">
      <c r="A248" s="9" t="s">
        <v>93</v>
      </c>
      <c r="B248" s="9" t="s">
        <v>93</v>
      </c>
      <c r="C248" s="4">
        <v>201002608</v>
      </c>
      <c r="D248" s="4"/>
      <c r="E248" s="4" t="str">
        <f>"051622010"</f>
        <v>051622010</v>
      </c>
      <c r="F248" s="10">
        <v>40263</v>
      </c>
      <c r="G248" s="11">
        <v>30.5</v>
      </c>
      <c r="H248" s="11">
        <v>30.5</v>
      </c>
      <c r="I248" s="4" t="s">
        <v>1766</v>
      </c>
      <c r="J248" s="4" t="s">
        <v>1767</v>
      </c>
      <c r="K248" s="11">
        <v>0</v>
      </c>
      <c r="L248" s="4"/>
      <c r="M248" s="4"/>
      <c r="N248" s="11">
        <v>0</v>
      </c>
      <c r="O248" s="4"/>
      <c r="P248" s="4"/>
      <c r="Q248" s="11">
        <v>0</v>
      </c>
      <c r="R248" s="4"/>
      <c r="S248" s="12"/>
    </row>
    <row r="249" spans="1:19" x14ac:dyDescent="0.25">
      <c r="A249" s="9" t="s">
        <v>93</v>
      </c>
      <c r="B249" s="9" t="s">
        <v>93</v>
      </c>
      <c r="C249" s="4">
        <v>201002614</v>
      </c>
      <c r="D249" s="4"/>
      <c r="E249" s="4" t="str">
        <f>"051882010"</f>
        <v>051882010</v>
      </c>
      <c r="F249" s="10">
        <v>40263</v>
      </c>
      <c r="G249" s="11">
        <v>19.25</v>
      </c>
      <c r="H249" s="11">
        <v>19.25</v>
      </c>
      <c r="I249" s="4" t="s">
        <v>1766</v>
      </c>
      <c r="J249" s="4" t="s">
        <v>1767</v>
      </c>
      <c r="K249" s="11">
        <v>0</v>
      </c>
      <c r="L249" s="4"/>
      <c r="M249" s="4"/>
      <c r="N249" s="11">
        <v>0</v>
      </c>
      <c r="O249" s="4"/>
      <c r="P249" s="4"/>
      <c r="Q249" s="11">
        <v>0</v>
      </c>
      <c r="R249" s="4"/>
      <c r="S249" s="12"/>
    </row>
    <row r="250" spans="1:19" x14ac:dyDescent="0.25">
      <c r="A250" s="9" t="s">
        <v>93</v>
      </c>
      <c r="B250" s="9" t="s">
        <v>93</v>
      </c>
      <c r="C250" s="4">
        <v>201002620</v>
      </c>
      <c r="D250" s="4"/>
      <c r="E250" s="4" t="str">
        <f>"099222010"</f>
        <v>099222010</v>
      </c>
      <c r="F250" s="10">
        <v>40396</v>
      </c>
      <c r="G250" s="11">
        <v>80.53</v>
      </c>
      <c r="H250" s="11">
        <v>80.53</v>
      </c>
      <c r="I250" s="4" t="s">
        <v>1766</v>
      </c>
      <c r="J250" s="4" t="s">
        <v>1767</v>
      </c>
      <c r="K250" s="11">
        <v>0</v>
      </c>
      <c r="L250" s="4"/>
      <c r="M250" s="4"/>
      <c r="N250" s="11">
        <v>0</v>
      </c>
      <c r="O250" s="4"/>
      <c r="P250" s="4"/>
      <c r="Q250" s="11">
        <v>0</v>
      </c>
      <c r="R250" s="4"/>
      <c r="S250" s="12"/>
    </row>
    <row r="251" spans="1:19" x14ac:dyDescent="0.25">
      <c r="A251" s="9" t="s">
        <v>93</v>
      </c>
      <c r="B251" s="9" t="s">
        <v>93</v>
      </c>
      <c r="C251" s="4">
        <v>201002628</v>
      </c>
      <c r="D251" s="4"/>
      <c r="E251" s="4" t="str">
        <f>"053722010"</f>
        <v>053722010</v>
      </c>
      <c r="F251" s="10">
        <v>40273</v>
      </c>
      <c r="G251" s="11">
        <v>36.6</v>
      </c>
      <c r="H251" s="11">
        <v>36.6</v>
      </c>
      <c r="I251" s="4" t="s">
        <v>1766</v>
      </c>
      <c r="J251" s="4" t="s">
        <v>1767</v>
      </c>
      <c r="K251" s="11">
        <v>0</v>
      </c>
      <c r="L251" s="4"/>
      <c r="M251" s="4"/>
      <c r="N251" s="11">
        <v>0</v>
      </c>
      <c r="O251" s="4"/>
      <c r="P251" s="4"/>
      <c r="Q251" s="11">
        <v>0</v>
      </c>
      <c r="R251" s="4"/>
      <c r="S251" s="12"/>
    </row>
    <row r="252" spans="1:19" x14ac:dyDescent="0.25">
      <c r="A252" s="9" t="s">
        <v>93</v>
      </c>
      <c r="B252" s="9" t="s">
        <v>93</v>
      </c>
      <c r="C252" s="4">
        <v>201002629</v>
      </c>
      <c r="D252" s="4"/>
      <c r="E252" s="4" t="str">
        <f>"051982010"</f>
        <v>051982010</v>
      </c>
      <c r="F252" s="10">
        <v>40263</v>
      </c>
      <c r="G252" s="11">
        <v>15</v>
      </c>
      <c r="H252" s="11">
        <v>15</v>
      </c>
      <c r="I252" s="4" t="s">
        <v>1766</v>
      </c>
      <c r="J252" s="4" t="s">
        <v>1767</v>
      </c>
      <c r="K252" s="11">
        <v>0</v>
      </c>
      <c r="L252" s="4"/>
      <c r="M252" s="4"/>
      <c r="N252" s="11">
        <v>0</v>
      </c>
      <c r="O252" s="4"/>
      <c r="P252" s="4"/>
      <c r="Q252" s="11">
        <v>0</v>
      </c>
      <c r="R252" s="4"/>
      <c r="S252" s="12"/>
    </row>
    <row r="253" spans="1:19" x14ac:dyDescent="0.25">
      <c r="A253" s="9" t="s">
        <v>93</v>
      </c>
      <c r="B253" s="9" t="s">
        <v>93</v>
      </c>
      <c r="C253" s="4">
        <v>201002661</v>
      </c>
      <c r="D253" s="4"/>
      <c r="E253" s="4" t="str">
        <f>"052602010"</f>
        <v>052602010</v>
      </c>
      <c r="F253" s="10">
        <v>40273</v>
      </c>
      <c r="G253" s="11">
        <v>60.95</v>
      </c>
      <c r="H253" s="11">
        <v>60.95</v>
      </c>
      <c r="I253" s="4" t="s">
        <v>1766</v>
      </c>
      <c r="J253" s="4" t="s">
        <v>1767</v>
      </c>
      <c r="K253" s="11">
        <v>0</v>
      </c>
      <c r="L253" s="4"/>
      <c r="M253" s="4"/>
      <c r="N253" s="11">
        <v>0</v>
      </c>
      <c r="O253" s="4"/>
      <c r="P253" s="4"/>
      <c r="Q253" s="11">
        <v>0</v>
      </c>
      <c r="R253" s="4"/>
      <c r="S253" s="12"/>
    </row>
    <row r="254" spans="1:19" x14ac:dyDescent="0.25">
      <c r="A254" s="9" t="s">
        <v>93</v>
      </c>
      <c r="B254" s="9" t="s">
        <v>93</v>
      </c>
      <c r="C254" s="4">
        <v>201002666</v>
      </c>
      <c r="D254" s="4"/>
      <c r="E254" s="4" t="str">
        <f>"053242010"</f>
        <v>053242010</v>
      </c>
      <c r="F254" s="10">
        <v>40273</v>
      </c>
      <c r="G254" s="11">
        <v>111</v>
      </c>
      <c r="H254" s="11">
        <v>111</v>
      </c>
      <c r="I254" s="4" t="s">
        <v>1766</v>
      </c>
      <c r="J254" s="4" t="s">
        <v>1767</v>
      </c>
      <c r="K254" s="11">
        <v>0</v>
      </c>
      <c r="L254" s="4"/>
      <c r="M254" s="4"/>
      <c r="N254" s="11">
        <v>0</v>
      </c>
      <c r="O254" s="4"/>
      <c r="P254" s="4"/>
      <c r="Q254" s="11">
        <v>0</v>
      </c>
      <c r="R254" s="4"/>
      <c r="S254" s="12"/>
    </row>
    <row r="255" spans="1:19" x14ac:dyDescent="0.25">
      <c r="A255" s="9" t="s">
        <v>93</v>
      </c>
      <c r="B255" s="9" t="s">
        <v>93</v>
      </c>
      <c r="C255" s="4">
        <v>201002669</v>
      </c>
      <c r="D255" s="4"/>
      <c r="E255" s="4" t="str">
        <f>"052582010"</f>
        <v>052582010</v>
      </c>
      <c r="F255" s="10">
        <v>40273</v>
      </c>
      <c r="G255" s="11">
        <v>84.02</v>
      </c>
      <c r="H255" s="11">
        <v>84.02</v>
      </c>
      <c r="I255" s="4" t="s">
        <v>1766</v>
      </c>
      <c r="J255" s="4" t="s">
        <v>1767</v>
      </c>
      <c r="K255" s="11">
        <v>0</v>
      </c>
      <c r="L255" s="4"/>
      <c r="M255" s="4"/>
      <c r="N255" s="11">
        <v>0</v>
      </c>
      <c r="O255" s="4"/>
      <c r="P255" s="4"/>
      <c r="Q255" s="11">
        <v>0</v>
      </c>
      <c r="R255" s="4"/>
      <c r="S255" s="12"/>
    </row>
    <row r="256" spans="1:19" x14ac:dyDescent="0.25">
      <c r="A256" s="9" t="s">
        <v>93</v>
      </c>
      <c r="B256" s="9" t="s">
        <v>93</v>
      </c>
      <c r="C256" s="4">
        <v>201002696</v>
      </c>
      <c r="D256" s="4"/>
      <c r="E256" s="4" t="str">
        <f>"055352010"</f>
        <v>055352010</v>
      </c>
      <c r="F256" s="10">
        <v>40273</v>
      </c>
      <c r="G256" s="11">
        <v>62.8</v>
      </c>
      <c r="H256" s="11">
        <v>62.8</v>
      </c>
      <c r="I256" s="4" t="s">
        <v>1766</v>
      </c>
      <c r="J256" s="4" t="s">
        <v>1767</v>
      </c>
      <c r="K256" s="11">
        <v>0</v>
      </c>
      <c r="L256" s="4"/>
      <c r="M256" s="4"/>
      <c r="N256" s="11">
        <v>0</v>
      </c>
      <c r="O256" s="4"/>
      <c r="P256" s="4"/>
      <c r="Q256" s="11">
        <v>0</v>
      </c>
      <c r="R256" s="4"/>
      <c r="S256" s="12"/>
    </row>
    <row r="257" spans="1:19" x14ac:dyDescent="0.25">
      <c r="A257" s="9" t="s">
        <v>93</v>
      </c>
      <c r="B257" s="9" t="s">
        <v>93</v>
      </c>
      <c r="C257" s="4">
        <v>201002697</v>
      </c>
      <c r="D257" s="4"/>
      <c r="E257" s="4" t="str">
        <f>"055332010"</f>
        <v>055332010</v>
      </c>
      <c r="F257" s="10">
        <v>40273</v>
      </c>
      <c r="G257" s="11">
        <v>34</v>
      </c>
      <c r="H257" s="11">
        <v>34</v>
      </c>
      <c r="I257" s="4" t="s">
        <v>1766</v>
      </c>
      <c r="J257" s="4" t="s">
        <v>1767</v>
      </c>
      <c r="K257" s="11">
        <v>0</v>
      </c>
      <c r="L257" s="4"/>
      <c r="M257" s="4"/>
      <c r="N257" s="11">
        <v>0</v>
      </c>
      <c r="O257" s="4"/>
      <c r="P257" s="4"/>
      <c r="Q257" s="11">
        <v>0</v>
      </c>
      <c r="R257" s="4"/>
      <c r="S257" s="12"/>
    </row>
    <row r="258" spans="1:19" x14ac:dyDescent="0.25">
      <c r="A258" s="9" t="s">
        <v>93</v>
      </c>
      <c r="B258" s="9" t="s">
        <v>93</v>
      </c>
      <c r="C258" s="4">
        <v>201002698</v>
      </c>
      <c r="D258" s="4"/>
      <c r="E258" s="4" t="str">
        <f>"055312010"</f>
        <v>055312010</v>
      </c>
      <c r="F258" s="10">
        <v>40273</v>
      </c>
      <c r="G258" s="11">
        <v>7.7</v>
      </c>
      <c r="H258" s="11">
        <v>7.7</v>
      </c>
      <c r="I258" s="4" t="s">
        <v>1766</v>
      </c>
      <c r="J258" s="4" t="s">
        <v>1767</v>
      </c>
      <c r="K258" s="11">
        <v>0</v>
      </c>
      <c r="L258" s="4"/>
      <c r="M258" s="4"/>
      <c r="N258" s="11">
        <v>0</v>
      </c>
      <c r="O258" s="4"/>
      <c r="P258" s="4"/>
      <c r="Q258" s="11">
        <v>0</v>
      </c>
      <c r="R258" s="4"/>
      <c r="S258" s="12"/>
    </row>
    <row r="259" spans="1:19" x14ac:dyDescent="0.25">
      <c r="A259" s="9" t="s">
        <v>93</v>
      </c>
      <c r="B259" s="9" t="s">
        <v>93</v>
      </c>
      <c r="C259" s="4">
        <v>201002699</v>
      </c>
      <c r="D259" s="4"/>
      <c r="E259" s="4" t="str">
        <f>"055292010"</f>
        <v>055292010</v>
      </c>
      <c r="F259" s="10">
        <v>40273</v>
      </c>
      <c r="G259" s="11">
        <v>50</v>
      </c>
      <c r="H259" s="11">
        <v>50</v>
      </c>
      <c r="I259" s="4" t="s">
        <v>1766</v>
      </c>
      <c r="J259" s="4" t="s">
        <v>1767</v>
      </c>
      <c r="K259" s="11">
        <v>0</v>
      </c>
      <c r="L259" s="4"/>
      <c r="M259" s="4"/>
      <c r="N259" s="11">
        <v>0</v>
      </c>
      <c r="O259" s="4"/>
      <c r="P259" s="4"/>
      <c r="Q259" s="11">
        <v>0</v>
      </c>
      <c r="R259" s="4"/>
      <c r="S259" s="12"/>
    </row>
    <row r="260" spans="1:19" x14ac:dyDescent="0.25">
      <c r="A260" s="9" t="s">
        <v>93</v>
      </c>
      <c r="B260" s="9" t="s">
        <v>93</v>
      </c>
      <c r="C260" s="4">
        <v>201002710</v>
      </c>
      <c r="D260" s="4"/>
      <c r="E260" s="4" t="str">
        <f>"055872010"</f>
        <v>055872010</v>
      </c>
      <c r="F260" s="10">
        <v>40273</v>
      </c>
      <c r="G260" s="11">
        <v>30.5</v>
      </c>
      <c r="H260" s="11">
        <v>30.5</v>
      </c>
      <c r="I260" s="4" t="s">
        <v>1766</v>
      </c>
      <c r="J260" s="4" t="s">
        <v>1767</v>
      </c>
      <c r="K260" s="11">
        <v>0</v>
      </c>
      <c r="L260" s="4"/>
      <c r="M260" s="4"/>
      <c r="N260" s="11">
        <v>0</v>
      </c>
      <c r="O260" s="4"/>
      <c r="P260" s="4"/>
      <c r="Q260" s="11">
        <v>0</v>
      </c>
      <c r="R260" s="4"/>
      <c r="S260" s="12"/>
    </row>
    <row r="261" spans="1:19" x14ac:dyDescent="0.25">
      <c r="A261" s="9" t="s">
        <v>93</v>
      </c>
      <c r="B261" s="9" t="s">
        <v>93</v>
      </c>
      <c r="C261" s="4">
        <v>201002756</v>
      </c>
      <c r="D261" s="4"/>
      <c r="E261" s="4" t="str">
        <f>"054822010"</f>
        <v>054822010</v>
      </c>
      <c r="F261" s="10">
        <v>40273</v>
      </c>
      <c r="G261" s="11">
        <v>140</v>
      </c>
      <c r="H261" s="11">
        <v>140</v>
      </c>
      <c r="I261" s="4" t="s">
        <v>1766</v>
      </c>
      <c r="J261" s="4" t="s">
        <v>1767</v>
      </c>
      <c r="K261" s="11">
        <v>0</v>
      </c>
      <c r="L261" s="4"/>
      <c r="M261" s="4"/>
      <c r="N261" s="11">
        <v>0</v>
      </c>
      <c r="O261" s="4"/>
      <c r="P261" s="4"/>
      <c r="Q261" s="11">
        <v>0</v>
      </c>
      <c r="R261" s="4"/>
      <c r="S261" s="12"/>
    </row>
    <row r="262" spans="1:19" x14ac:dyDescent="0.25">
      <c r="A262" s="9" t="s">
        <v>93</v>
      </c>
      <c r="B262" s="9" t="s">
        <v>93</v>
      </c>
      <c r="C262" s="4">
        <v>201002760</v>
      </c>
      <c r="D262" s="4"/>
      <c r="E262" s="4" t="str">
        <f>"053942010"</f>
        <v>053942010</v>
      </c>
      <c r="F262" s="10">
        <v>40273</v>
      </c>
      <c r="G262" s="11">
        <v>17.98</v>
      </c>
      <c r="H262" s="11">
        <v>17.98</v>
      </c>
      <c r="I262" s="4" t="s">
        <v>1766</v>
      </c>
      <c r="J262" s="4" t="s">
        <v>1767</v>
      </c>
      <c r="K262" s="11">
        <v>0</v>
      </c>
      <c r="L262" s="4"/>
      <c r="M262" s="4"/>
      <c r="N262" s="11">
        <v>0</v>
      </c>
      <c r="O262" s="4"/>
      <c r="P262" s="4"/>
      <c r="Q262" s="11">
        <v>0</v>
      </c>
      <c r="R262" s="4"/>
      <c r="S262" s="12"/>
    </row>
    <row r="263" spans="1:19" x14ac:dyDescent="0.25">
      <c r="A263" s="9" t="s">
        <v>93</v>
      </c>
      <c r="B263" s="9" t="s">
        <v>93</v>
      </c>
      <c r="C263" s="4">
        <v>201002762</v>
      </c>
      <c r="D263" s="4"/>
      <c r="E263" s="4" t="str">
        <f>"054282010"</f>
        <v>054282010</v>
      </c>
      <c r="F263" s="10">
        <v>40273</v>
      </c>
      <c r="G263" s="11">
        <v>109.41</v>
      </c>
      <c r="H263" s="11">
        <v>109.41</v>
      </c>
      <c r="I263" s="4" t="s">
        <v>1766</v>
      </c>
      <c r="J263" s="4" t="s">
        <v>1767</v>
      </c>
      <c r="K263" s="11">
        <v>0</v>
      </c>
      <c r="L263" s="4"/>
      <c r="M263" s="4"/>
      <c r="N263" s="11">
        <v>0</v>
      </c>
      <c r="O263" s="4"/>
      <c r="P263" s="4"/>
      <c r="Q263" s="11">
        <v>0</v>
      </c>
      <c r="R263" s="4"/>
      <c r="S263" s="12"/>
    </row>
    <row r="264" spans="1:19" x14ac:dyDescent="0.25">
      <c r="A264" s="9" t="s">
        <v>93</v>
      </c>
      <c r="B264" s="9" t="s">
        <v>93</v>
      </c>
      <c r="C264" s="4">
        <v>201002784</v>
      </c>
      <c r="D264" s="4"/>
      <c r="E264" s="4" t="str">
        <f>"054682010"</f>
        <v>054682010</v>
      </c>
      <c r="F264" s="10">
        <v>40273</v>
      </c>
      <c r="G264" s="11">
        <v>21.2</v>
      </c>
      <c r="H264" s="11">
        <v>21.2</v>
      </c>
      <c r="I264" s="4" t="s">
        <v>1766</v>
      </c>
      <c r="J264" s="4" t="s">
        <v>1767</v>
      </c>
      <c r="K264" s="11">
        <v>0</v>
      </c>
      <c r="L264" s="4"/>
      <c r="M264" s="4"/>
      <c r="N264" s="11">
        <v>0</v>
      </c>
      <c r="O264" s="4"/>
      <c r="P264" s="4"/>
      <c r="Q264" s="11">
        <v>0</v>
      </c>
      <c r="R264" s="4"/>
      <c r="S264" s="12"/>
    </row>
    <row r="265" spans="1:19" x14ac:dyDescent="0.25">
      <c r="A265" s="9" t="s">
        <v>93</v>
      </c>
      <c r="B265" s="9" t="s">
        <v>93</v>
      </c>
      <c r="C265" s="4">
        <v>201002787</v>
      </c>
      <c r="D265" s="4"/>
      <c r="E265" s="4" t="str">
        <f>"055092010"</f>
        <v>055092010</v>
      </c>
      <c r="F265" s="10">
        <v>40273</v>
      </c>
      <c r="G265" s="11">
        <v>100</v>
      </c>
      <c r="H265" s="11">
        <v>100</v>
      </c>
      <c r="I265" s="4" t="s">
        <v>1766</v>
      </c>
      <c r="J265" s="4" t="s">
        <v>1767</v>
      </c>
      <c r="K265" s="11">
        <v>0</v>
      </c>
      <c r="L265" s="4"/>
      <c r="M265" s="4"/>
      <c r="N265" s="11">
        <v>0</v>
      </c>
      <c r="O265" s="4"/>
      <c r="P265" s="4"/>
      <c r="Q265" s="11">
        <v>0</v>
      </c>
      <c r="R265" s="4"/>
      <c r="S265" s="12"/>
    </row>
    <row r="266" spans="1:19" x14ac:dyDescent="0.25">
      <c r="A266" s="9" t="s">
        <v>93</v>
      </c>
      <c r="B266" s="9" t="s">
        <v>93</v>
      </c>
      <c r="C266" s="4">
        <v>201002815</v>
      </c>
      <c r="D266" s="4"/>
      <c r="E266" s="4" t="str">
        <f>"055112010"</f>
        <v>055112010</v>
      </c>
      <c r="F266" s="10">
        <v>40273</v>
      </c>
      <c r="G266" s="11">
        <v>42</v>
      </c>
      <c r="H266" s="11">
        <v>42</v>
      </c>
      <c r="I266" s="4" t="s">
        <v>1766</v>
      </c>
      <c r="J266" s="4" t="s">
        <v>1767</v>
      </c>
      <c r="K266" s="11">
        <v>0</v>
      </c>
      <c r="L266" s="4"/>
      <c r="M266" s="4"/>
      <c r="N266" s="11">
        <v>0</v>
      </c>
      <c r="O266" s="4"/>
      <c r="P266" s="4"/>
      <c r="Q266" s="11">
        <v>0</v>
      </c>
      <c r="R266" s="4"/>
      <c r="S266" s="12"/>
    </row>
    <row r="267" spans="1:19" x14ac:dyDescent="0.25">
      <c r="A267" s="9" t="s">
        <v>93</v>
      </c>
      <c r="B267" s="9" t="s">
        <v>93</v>
      </c>
      <c r="C267" s="4">
        <v>201002846</v>
      </c>
      <c r="D267" s="4"/>
      <c r="E267" s="4" t="str">
        <f>"055932010"</f>
        <v>055932010</v>
      </c>
      <c r="F267" s="10">
        <v>40273</v>
      </c>
      <c r="G267" s="11">
        <v>6.1</v>
      </c>
      <c r="H267" s="11">
        <v>6.1</v>
      </c>
      <c r="I267" s="4" t="s">
        <v>1766</v>
      </c>
      <c r="J267" s="4" t="s">
        <v>1767</v>
      </c>
      <c r="K267" s="11">
        <v>0</v>
      </c>
      <c r="L267" s="4"/>
      <c r="M267" s="4"/>
      <c r="N267" s="11">
        <v>0</v>
      </c>
      <c r="O267" s="4"/>
      <c r="P267" s="4"/>
      <c r="Q267" s="11">
        <v>0</v>
      </c>
      <c r="R267" s="4"/>
      <c r="S267" s="12"/>
    </row>
    <row r="268" spans="1:19" x14ac:dyDescent="0.25">
      <c r="A268" s="9" t="s">
        <v>93</v>
      </c>
      <c r="B268" s="9" t="s">
        <v>93</v>
      </c>
      <c r="C268" s="4">
        <v>201002856</v>
      </c>
      <c r="D268" s="4"/>
      <c r="E268" s="4" t="str">
        <f>"056192010"</f>
        <v>056192010</v>
      </c>
      <c r="F268" s="10">
        <v>40273</v>
      </c>
      <c r="G268" s="11">
        <v>68.94</v>
      </c>
      <c r="H268" s="11">
        <v>68.94</v>
      </c>
      <c r="I268" s="4" t="s">
        <v>1766</v>
      </c>
      <c r="J268" s="4" t="s">
        <v>1767</v>
      </c>
      <c r="K268" s="11">
        <v>0</v>
      </c>
      <c r="L268" s="4"/>
      <c r="M268" s="4"/>
      <c r="N268" s="11">
        <v>0</v>
      </c>
      <c r="O268" s="4"/>
      <c r="P268" s="4"/>
      <c r="Q268" s="11">
        <v>0</v>
      </c>
      <c r="R268" s="4"/>
      <c r="S268" s="12"/>
    </row>
    <row r="269" spans="1:19" x14ac:dyDescent="0.25">
      <c r="A269" s="9" t="s">
        <v>93</v>
      </c>
      <c r="B269" s="9" t="s">
        <v>93</v>
      </c>
      <c r="C269" s="4">
        <v>201002872</v>
      </c>
      <c r="D269" s="4"/>
      <c r="E269" s="4" t="str">
        <f>"056892010"</f>
        <v>056892010</v>
      </c>
      <c r="F269" s="10">
        <v>40277</v>
      </c>
      <c r="G269" s="11">
        <v>45.62</v>
      </c>
      <c r="H269" s="11">
        <v>45.62</v>
      </c>
      <c r="I269" s="4" t="s">
        <v>1766</v>
      </c>
      <c r="J269" s="4" t="s">
        <v>1767</v>
      </c>
      <c r="K269" s="11">
        <v>0</v>
      </c>
      <c r="L269" s="4"/>
      <c r="M269" s="4"/>
      <c r="N269" s="11">
        <v>0</v>
      </c>
      <c r="O269" s="4"/>
      <c r="P269" s="4"/>
      <c r="Q269" s="11">
        <v>0</v>
      </c>
      <c r="R269" s="4"/>
      <c r="S269" s="12"/>
    </row>
    <row r="270" spans="1:19" x14ac:dyDescent="0.25">
      <c r="A270" s="9" t="s">
        <v>93</v>
      </c>
      <c r="B270" s="9" t="s">
        <v>93</v>
      </c>
      <c r="C270" s="4">
        <v>201002918</v>
      </c>
      <c r="D270" s="4"/>
      <c r="E270" s="4" t="str">
        <f>"057642010"</f>
        <v>057642010</v>
      </c>
      <c r="F270" s="10">
        <v>40284</v>
      </c>
      <c r="G270" s="11">
        <v>27.36</v>
      </c>
      <c r="H270" s="11">
        <v>27.36</v>
      </c>
      <c r="I270" s="4" t="s">
        <v>1766</v>
      </c>
      <c r="J270" s="4" t="s">
        <v>1767</v>
      </c>
      <c r="K270" s="11">
        <v>0</v>
      </c>
      <c r="L270" s="4"/>
      <c r="M270" s="4"/>
      <c r="N270" s="11">
        <v>0</v>
      </c>
      <c r="O270" s="4"/>
      <c r="P270" s="4"/>
      <c r="Q270" s="11">
        <v>0</v>
      </c>
      <c r="R270" s="4"/>
      <c r="S270" s="12"/>
    </row>
    <row r="271" spans="1:19" x14ac:dyDescent="0.25">
      <c r="A271" s="9" t="s">
        <v>93</v>
      </c>
      <c r="B271" s="9" t="s">
        <v>93</v>
      </c>
      <c r="C271" s="4">
        <v>201002919</v>
      </c>
      <c r="D271" s="4"/>
      <c r="E271" s="4" t="str">
        <f>"086052010"</f>
        <v>086052010</v>
      </c>
      <c r="F271" s="10">
        <v>40357</v>
      </c>
      <c r="G271" s="11">
        <v>16.98</v>
      </c>
      <c r="H271" s="11">
        <v>16.98</v>
      </c>
      <c r="I271" s="4" t="s">
        <v>1766</v>
      </c>
      <c r="J271" s="4" t="s">
        <v>1767</v>
      </c>
      <c r="K271" s="11">
        <v>0</v>
      </c>
      <c r="L271" s="4"/>
      <c r="M271" s="4"/>
      <c r="N271" s="11">
        <v>0</v>
      </c>
      <c r="O271" s="4"/>
      <c r="P271" s="4"/>
      <c r="Q271" s="11">
        <v>0</v>
      </c>
      <c r="R271" s="4"/>
      <c r="S271" s="12"/>
    </row>
    <row r="272" spans="1:19" x14ac:dyDescent="0.25">
      <c r="A272" s="9" t="s">
        <v>93</v>
      </c>
      <c r="B272" s="9" t="s">
        <v>93</v>
      </c>
      <c r="C272" s="4">
        <v>201002926</v>
      </c>
      <c r="D272" s="4"/>
      <c r="E272" s="4" t="str">
        <f>"058492010"</f>
        <v>058492010</v>
      </c>
      <c r="F272" s="10">
        <v>40284</v>
      </c>
      <c r="G272" s="11">
        <v>127.4</v>
      </c>
      <c r="H272" s="11">
        <v>127.4</v>
      </c>
      <c r="I272" s="4" t="s">
        <v>1766</v>
      </c>
      <c r="J272" s="4" t="s">
        <v>1767</v>
      </c>
      <c r="K272" s="11">
        <v>0</v>
      </c>
      <c r="L272" s="4"/>
      <c r="M272" s="4"/>
      <c r="N272" s="11">
        <v>0</v>
      </c>
      <c r="O272" s="4"/>
      <c r="P272" s="4"/>
      <c r="Q272" s="11">
        <v>0</v>
      </c>
      <c r="R272" s="4"/>
      <c r="S272" s="12"/>
    </row>
    <row r="273" spans="1:19" x14ac:dyDescent="0.25">
      <c r="A273" s="9" t="s">
        <v>93</v>
      </c>
      <c r="B273" s="9" t="s">
        <v>93</v>
      </c>
      <c r="C273" s="4">
        <v>201002928</v>
      </c>
      <c r="D273" s="4"/>
      <c r="E273" s="4" t="str">
        <f>"059852010"</f>
        <v>059852010</v>
      </c>
      <c r="F273" s="10">
        <v>40289</v>
      </c>
      <c r="G273" s="11">
        <v>50.25</v>
      </c>
      <c r="H273" s="11">
        <v>50.25</v>
      </c>
      <c r="I273" s="4" t="s">
        <v>1766</v>
      </c>
      <c r="J273" s="4" t="s">
        <v>1767</v>
      </c>
      <c r="K273" s="11">
        <v>0</v>
      </c>
      <c r="L273" s="4"/>
      <c r="M273" s="4"/>
      <c r="N273" s="11">
        <v>0</v>
      </c>
      <c r="O273" s="4"/>
      <c r="P273" s="4"/>
      <c r="Q273" s="11">
        <v>0</v>
      </c>
      <c r="R273" s="4"/>
      <c r="S273" s="12"/>
    </row>
    <row r="274" spans="1:19" x14ac:dyDescent="0.25">
      <c r="A274" s="9" t="s">
        <v>93</v>
      </c>
      <c r="B274" s="9" t="s">
        <v>93</v>
      </c>
      <c r="C274" s="4">
        <v>201002952</v>
      </c>
      <c r="D274" s="4"/>
      <c r="E274" s="4" t="str">
        <f>"059472010"</f>
        <v>059472010</v>
      </c>
      <c r="F274" s="10">
        <v>40287</v>
      </c>
      <c r="G274" s="11">
        <v>59.2</v>
      </c>
      <c r="H274" s="11">
        <v>59.2</v>
      </c>
      <c r="I274" s="4" t="s">
        <v>1766</v>
      </c>
      <c r="J274" s="4" t="s">
        <v>1767</v>
      </c>
      <c r="K274" s="11">
        <v>0</v>
      </c>
      <c r="L274" s="4"/>
      <c r="M274" s="4"/>
      <c r="N274" s="11">
        <v>0</v>
      </c>
      <c r="O274" s="4"/>
      <c r="P274" s="4"/>
      <c r="Q274" s="11">
        <v>0</v>
      </c>
      <c r="R274" s="4"/>
      <c r="S274" s="12"/>
    </row>
    <row r="275" spans="1:19" x14ac:dyDescent="0.25">
      <c r="A275" s="9" t="s">
        <v>93</v>
      </c>
      <c r="B275" s="9" t="s">
        <v>93</v>
      </c>
      <c r="C275" s="4">
        <v>201002958</v>
      </c>
      <c r="D275" s="4"/>
      <c r="E275" s="4" t="str">
        <f>"058012010"</f>
        <v>058012010</v>
      </c>
      <c r="F275" s="10">
        <v>40284</v>
      </c>
      <c r="G275" s="11">
        <v>386.08</v>
      </c>
      <c r="H275" s="11">
        <v>386.08</v>
      </c>
      <c r="I275" s="4" t="s">
        <v>1766</v>
      </c>
      <c r="J275" s="4" t="s">
        <v>1767</v>
      </c>
      <c r="K275" s="11">
        <v>0</v>
      </c>
      <c r="L275" s="4"/>
      <c r="M275" s="4"/>
      <c r="N275" s="11">
        <v>0</v>
      </c>
      <c r="O275" s="4"/>
      <c r="P275" s="4"/>
      <c r="Q275" s="11">
        <v>0</v>
      </c>
      <c r="R275" s="4"/>
      <c r="S275" s="12"/>
    </row>
    <row r="276" spans="1:19" x14ac:dyDescent="0.25">
      <c r="A276" s="9" t="s">
        <v>93</v>
      </c>
      <c r="B276" s="9" t="s">
        <v>93</v>
      </c>
      <c r="C276" s="4">
        <v>201003007</v>
      </c>
      <c r="D276" s="4"/>
      <c r="E276" s="4" t="str">
        <f>"060022010"</f>
        <v>060022010</v>
      </c>
      <c r="F276" s="10">
        <v>40289</v>
      </c>
      <c r="G276" s="11">
        <v>36.85</v>
      </c>
      <c r="H276" s="11">
        <v>36.85</v>
      </c>
      <c r="I276" s="4" t="s">
        <v>1766</v>
      </c>
      <c r="J276" s="4" t="s">
        <v>1767</v>
      </c>
      <c r="K276" s="11">
        <v>0</v>
      </c>
      <c r="L276" s="4"/>
      <c r="M276" s="4"/>
      <c r="N276" s="11">
        <v>0</v>
      </c>
      <c r="O276" s="4"/>
      <c r="P276" s="4"/>
      <c r="Q276" s="11">
        <v>0</v>
      </c>
      <c r="R276" s="4"/>
      <c r="S276" s="12"/>
    </row>
    <row r="277" spans="1:19" x14ac:dyDescent="0.25">
      <c r="A277" s="9" t="s">
        <v>93</v>
      </c>
      <c r="B277" s="9" t="s">
        <v>93</v>
      </c>
      <c r="C277" s="4">
        <v>201003015</v>
      </c>
      <c r="D277" s="4"/>
      <c r="E277" s="4" t="str">
        <f>"059412010"</f>
        <v>059412010</v>
      </c>
      <c r="F277" s="10">
        <v>40287</v>
      </c>
      <c r="G277" s="11">
        <v>54.7</v>
      </c>
      <c r="H277" s="11">
        <v>54.7</v>
      </c>
      <c r="I277" s="4" t="s">
        <v>1766</v>
      </c>
      <c r="J277" s="4" t="s">
        <v>1767</v>
      </c>
      <c r="K277" s="11">
        <v>0</v>
      </c>
      <c r="L277" s="4"/>
      <c r="M277" s="4"/>
      <c r="N277" s="11">
        <v>0</v>
      </c>
      <c r="O277" s="4"/>
      <c r="P277" s="4"/>
      <c r="Q277" s="11">
        <v>0</v>
      </c>
      <c r="R277" s="4"/>
      <c r="S277" s="12"/>
    </row>
    <row r="278" spans="1:19" x14ac:dyDescent="0.25">
      <c r="A278" s="9" t="s">
        <v>93</v>
      </c>
      <c r="B278" s="9" t="s">
        <v>93</v>
      </c>
      <c r="C278" s="4">
        <v>201003067</v>
      </c>
      <c r="D278" s="4"/>
      <c r="E278" s="4" t="str">
        <f>"060902010"</f>
        <v>060902010</v>
      </c>
      <c r="F278" s="10">
        <v>40290</v>
      </c>
      <c r="G278" s="11">
        <v>44.1</v>
      </c>
      <c r="H278" s="11">
        <v>44.1</v>
      </c>
      <c r="I278" s="4" t="s">
        <v>1766</v>
      </c>
      <c r="J278" s="4" t="s">
        <v>1767</v>
      </c>
      <c r="K278" s="11">
        <v>0</v>
      </c>
      <c r="L278" s="4"/>
      <c r="M278" s="4"/>
      <c r="N278" s="11">
        <v>0</v>
      </c>
      <c r="O278" s="4"/>
      <c r="P278" s="4"/>
      <c r="Q278" s="11">
        <v>0</v>
      </c>
      <c r="R278" s="4"/>
      <c r="S278" s="12"/>
    </row>
    <row r="279" spans="1:19" x14ac:dyDescent="0.25">
      <c r="A279" s="9" t="s">
        <v>93</v>
      </c>
      <c r="B279" s="9" t="s">
        <v>93</v>
      </c>
      <c r="C279" s="4">
        <v>201003134</v>
      </c>
      <c r="D279" s="4"/>
      <c r="E279" s="4" t="str">
        <f>"063042010"</f>
        <v>063042010</v>
      </c>
      <c r="F279" s="10">
        <v>40296</v>
      </c>
      <c r="G279" s="11">
        <v>14.3</v>
      </c>
      <c r="H279" s="11">
        <v>14.3</v>
      </c>
      <c r="I279" s="4" t="s">
        <v>1766</v>
      </c>
      <c r="J279" s="4" t="s">
        <v>1767</v>
      </c>
      <c r="K279" s="11">
        <v>0</v>
      </c>
      <c r="L279" s="4"/>
      <c r="M279" s="4"/>
      <c r="N279" s="11">
        <v>0</v>
      </c>
      <c r="O279" s="4"/>
      <c r="P279" s="4"/>
      <c r="Q279" s="11">
        <v>0</v>
      </c>
      <c r="R279" s="4"/>
      <c r="S279" s="12"/>
    </row>
    <row r="280" spans="1:19" x14ac:dyDescent="0.25">
      <c r="A280" s="9" t="s">
        <v>93</v>
      </c>
      <c r="B280" s="9" t="s">
        <v>93</v>
      </c>
      <c r="C280" s="4">
        <v>201003205</v>
      </c>
      <c r="D280" s="4"/>
      <c r="E280" s="4" t="str">
        <f>"063382010"</f>
        <v>063382010</v>
      </c>
      <c r="F280" s="10">
        <v>40297</v>
      </c>
      <c r="G280" s="11">
        <v>33.200000000000003</v>
      </c>
      <c r="H280" s="11">
        <v>33.200000000000003</v>
      </c>
      <c r="I280" s="4" t="s">
        <v>1766</v>
      </c>
      <c r="J280" s="4" t="s">
        <v>1767</v>
      </c>
      <c r="K280" s="11">
        <v>0</v>
      </c>
      <c r="L280" s="4"/>
      <c r="M280" s="4"/>
      <c r="N280" s="11">
        <v>0</v>
      </c>
      <c r="O280" s="4"/>
      <c r="P280" s="4"/>
      <c r="Q280" s="11">
        <v>0</v>
      </c>
      <c r="R280" s="4"/>
      <c r="S280" s="12"/>
    </row>
    <row r="281" spans="1:19" x14ac:dyDescent="0.25">
      <c r="A281" s="9" t="s">
        <v>93</v>
      </c>
      <c r="B281" s="9" t="s">
        <v>93</v>
      </c>
      <c r="C281" s="4">
        <v>201003254</v>
      </c>
      <c r="D281" s="4"/>
      <c r="E281" s="4" t="str">
        <f>"065042010"</f>
        <v>065042010</v>
      </c>
      <c r="F281" s="10">
        <v>40302</v>
      </c>
      <c r="G281" s="11">
        <v>332.75</v>
      </c>
      <c r="H281" s="11">
        <v>332.75</v>
      </c>
      <c r="I281" s="4" t="s">
        <v>1766</v>
      </c>
      <c r="J281" s="4" t="s">
        <v>1767</v>
      </c>
      <c r="K281" s="11">
        <v>0</v>
      </c>
      <c r="L281" s="4"/>
      <c r="M281" s="4"/>
      <c r="N281" s="11">
        <v>0</v>
      </c>
      <c r="O281" s="4"/>
      <c r="P281" s="4"/>
      <c r="Q281" s="11">
        <v>0</v>
      </c>
      <c r="R281" s="4"/>
      <c r="S281" s="12"/>
    </row>
    <row r="282" spans="1:19" x14ac:dyDescent="0.25">
      <c r="A282" s="9" t="s">
        <v>93</v>
      </c>
      <c r="B282" s="9" t="s">
        <v>93</v>
      </c>
      <c r="C282" s="4">
        <v>201003262</v>
      </c>
      <c r="D282" s="4"/>
      <c r="E282" s="4" t="str">
        <f>"064922010"</f>
        <v>064922010</v>
      </c>
      <c r="F282" s="10">
        <v>40302</v>
      </c>
      <c r="G282" s="11">
        <v>108</v>
      </c>
      <c r="H282" s="11">
        <v>108</v>
      </c>
      <c r="I282" s="4" t="s">
        <v>1766</v>
      </c>
      <c r="J282" s="4" t="s">
        <v>1767</v>
      </c>
      <c r="K282" s="11">
        <v>0</v>
      </c>
      <c r="L282" s="4"/>
      <c r="M282" s="4"/>
      <c r="N282" s="11">
        <v>0</v>
      </c>
      <c r="O282" s="4"/>
      <c r="P282" s="4"/>
      <c r="Q282" s="11">
        <v>0</v>
      </c>
      <c r="R282" s="4"/>
      <c r="S282" s="12"/>
    </row>
    <row r="283" spans="1:19" x14ac:dyDescent="0.25">
      <c r="A283" s="9" t="s">
        <v>93</v>
      </c>
      <c r="B283" s="9" t="s">
        <v>93</v>
      </c>
      <c r="C283" s="4">
        <v>201003315</v>
      </c>
      <c r="D283" s="4"/>
      <c r="E283" s="4" t="str">
        <f>"066002010"</f>
        <v>066002010</v>
      </c>
      <c r="F283" s="10">
        <v>40310</v>
      </c>
      <c r="G283" s="11">
        <v>42.5</v>
      </c>
      <c r="H283" s="11">
        <v>42.5</v>
      </c>
      <c r="I283" s="4" t="s">
        <v>1766</v>
      </c>
      <c r="J283" s="4" t="s">
        <v>1767</v>
      </c>
      <c r="K283" s="11">
        <v>0</v>
      </c>
      <c r="L283" s="4"/>
      <c r="M283" s="4"/>
      <c r="N283" s="11">
        <v>0</v>
      </c>
      <c r="O283" s="4"/>
      <c r="P283" s="4"/>
      <c r="Q283" s="11">
        <v>0</v>
      </c>
      <c r="R283" s="4"/>
      <c r="S283" s="12"/>
    </row>
    <row r="284" spans="1:19" x14ac:dyDescent="0.25">
      <c r="A284" s="9" t="s">
        <v>93</v>
      </c>
      <c r="B284" s="9" t="s">
        <v>93</v>
      </c>
      <c r="C284" s="4">
        <v>201003343</v>
      </c>
      <c r="D284" s="4"/>
      <c r="E284" s="4" t="str">
        <f>"066402010"</f>
        <v>066402010</v>
      </c>
      <c r="F284" s="10">
        <v>40310</v>
      </c>
      <c r="G284" s="11">
        <v>63.5</v>
      </c>
      <c r="H284" s="11">
        <v>63.5</v>
      </c>
      <c r="I284" s="4" t="s">
        <v>1766</v>
      </c>
      <c r="J284" s="4" t="s">
        <v>1767</v>
      </c>
      <c r="K284" s="11">
        <v>0</v>
      </c>
      <c r="L284" s="4"/>
      <c r="M284" s="4"/>
      <c r="N284" s="11">
        <v>0</v>
      </c>
      <c r="O284" s="4"/>
      <c r="P284" s="4"/>
      <c r="Q284" s="11">
        <v>0</v>
      </c>
      <c r="R284" s="4"/>
      <c r="S284" s="12"/>
    </row>
    <row r="285" spans="1:19" x14ac:dyDescent="0.25">
      <c r="A285" s="9" t="s">
        <v>93</v>
      </c>
      <c r="B285" s="9" t="s">
        <v>93</v>
      </c>
      <c r="C285" s="4">
        <v>201003360</v>
      </c>
      <c r="D285" s="4"/>
      <c r="E285" s="4" t="str">
        <f>"066762010"</f>
        <v>066762010</v>
      </c>
      <c r="F285" s="10">
        <v>40316</v>
      </c>
      <c r="G285" s="11">
        <v>168.5</v>
      </c>
      <c r="H285" s="11">
        <v>168.5</v>
      </c>
      <c r="I285" s="4" t="s">
        <v>1766</v>
      </c>
      <c r="J285" s="4" t="s">
        <v>1767</v>
      </c>
      <c r="K285" s="11">
        <v>0</v>
      </c>
      <c r="L285" s="4"/>
      <c r="M285" s="4"/>
      <c r="N285" s="11">
        <v>0</v>
      </c>
      <c r="O285" s="4"/>
      <c r="P285" s="4"/>
      <c r="Q285" s="11">
        <v>0</v>
      </c>
      <c r="R285" s="4"/>
      <c r="S285" s="12"/>
    </row>
    <row r="286" spans="1:19" x14ac:dyDescent="0.25">
      <c r="A286" s="9" t="s">
        <v>93</v>
      </c>
      <c r="B286" s="9" t="s">
        <v>93</v>
      </c>
      <c r="C286" s="4">
        <v>201003361</v>
      </c>
      <c r="D286" s="4"/>
      <c r="E286" s="4" t="str">
        <f>"066742010"</f>
        <v>066742010</v>
      </c>
      <c r="F286" s="10">
        <v>40316</v>
      </c>
      <c r="G286" s="11">
        <v>105</v>
      </c>
      <c r="H286" s="11">
        <v>105</v>
      </c>
      <c r="I286" s="4" t="s">
        <v>1766</v>
      </c>
      <c r="J286" s="4" t="s">
        <v>1767</v>
      </c>
      <c r="K286" s="11">
        <v>0</v>
      </c>
      <c r="L286" s="4"/>
      <c r="M286" s="4"/>
      <c r="N286" s="11">
        <v>0</v>
      </c>
      <c r="O286" s="4"/>
      <c r="P286" s="4"/>
      <c r="Q286" s="11">
        <v>0</v>
      </c>
      <c r="R286" s="4"/>
      <c r="S286" s="12"/>
    </row>
    <row r="287" spans="1:19" x14ac:dyDescent="0.25">
      <c r="A287" s="9" t="s">
        <v>93</v>
      </c>
      <c r="B287" s="9" t="s">
        <v>93</v>
      </c>
      <c r="C287" s="4">
        <v>201003367</v>
      </c>
      <c r="D287" s="4"/>
      <c r="E287" s="4" t="str">
        <f>"070212010"</f>
        <v>070212010</v>
      </c>
      <c r="F287" s="10">
        <v>40316</v>
      </c>
      <c r="G287" s="11">
        <v>50</v>
      </c>
      <c r="H287" s="11">
        <v>50</v>
      </c>
      <c r="I287" s="4" t="s">
        <v>1766</v>
      </c>
      <c r="J287" s="4" t="s">
        <v>1767</v>
      </c>
      <c r="K287" s="11">
        <v>0</v>
      </c>
      <c r="L287" s="4"/>
      <c r="M287" s="4"/>
      <c r="N287" s="11">
        <v>0</v>
      </c>
      <c r="O287" s="4"/>
      <c r="P287" s="4"/>
      <c r="Q287" s="11">
        <v>0</v>
      </c>
      <c r="R287" s="4"/>
      <c r="S287" s="12"/>
    </row>
    <row r="288" spans="1:19" x14ac:dyDescent="0.25">
      <c r="A288" s="9" t="s">
        <v>93</v>
      </c>
      <c r="B288" s="9" t="s">
        <v>93</v>
      </c>
      <c r="C288" s="4">
        <v>201003414</v>
      </c>
      <c r="D288" s="4"/>
      <c r="E288" s="4" t="str">
        <f>"067722010"</f>
        <v>067722010</v>
      </c>
      <c r="F288" s="10">
        <v>40316</v>
      </c>
      <c r="G288" s="11">
        <v>61.28</v>
      </c>
      <c r="H288" s="11">
        <v>61.28</v>
      </c>
      <c r="I288" s="4" t="s">
        <v>1766</v>
      </c>
      <c r="J288" s="4" t="s">
        <v>1767</v>
      </c>
      <c r="K288" s="11">
        <v>0</v>
      </c>
      <c r="L288" s="4"/>
      <c r="M288" s="4"/>
      <c r="N288" s="11">
        <v>0</v>
      </c>
      <c r="O288" s="4"/>
      <c r="P288" s="4"/>
      <c r="Q288" s="11">
        <v>0</v>
      </c>
      <c r="R288" s="4"/>
      <c r="S288" s="12"/>
    </row>
    <row r="289" spans="1:19" x14ac:dyDescent="0.25">
      <c r="A289" s="9" t="s">
        <v>93</v>
      </c>
      <c r="B289" s="9" t="s">
        <v>93</v>
      </c>
      <c r="C289" s="4">
        <v>201003426</v>
      </c>
      <c r="D289" s="4"/>
      <c r="E289" s="4" t="str">
        <f>"068642010"</f>
        <v>068642010</v>
      </c>
      <c r="F289" s="10">
        <v>40316</v>
      </c>
      <c r="G289" s="11">
        <v>100.7</v>
      </c>
      <c r="H289" s="11">
        <v>100.7</v>
      </c>
      <c r="I289" s="4" t="s">
        <v>1766</v>
      </c>
      <c r="J289" s="4" t="s">
        <v>1767</v>
      </c>
      <c r="K289" s="11">
        <v>0</v>
      </c>
      <c r="L289" s="4"/>
      <c r="M289" s="4"/>
      <c r="N289" s="11">
        <v>0</v>
      </c>
      <c r="O289" s="4"/>
      <c r="P289" s="4"/>
      <c r="Q289" s="11">
        <v>0</v>
      </c>
      <c r="R289" s="4"/>
      <c r="S289" s="12"/>
    </row>
    <row r="290" spans="1:19" x14ac:dyDescent="0.25">
      <c r="A290" s="9" t="s">
        <v>93</v>
      </c>
      <c r="B290" s="9" t="s">
        <v>93</v>
      </c>
      <c r="C290" s="4">
        <v>201003448</v>
      </c>
      <c r="D290" s="4"/>
      <c r="E290" s="4" t="str">
        <f>"068622010"</f>
        <v>068622010</v>
      </c>
      <c r="F290" s="10">
        <v>40316</v>
      </c>
      <c r="G290" s="11">
        <v>200</v>
      </c>
      <c r="H290" s="11">
        <v>200</v>
      </c>
      <c r="I290" s="4" t="s">
        <v>1766</v>
      </c>
      <c r="J290" s="4" t="s">
        <v>1767</v>
      </c>
      <c r="K290" s="11">
        <v>0</v>
      </c>
      <c r="L290" s="4"/>
      <c r="M290" s="4"/>
      <c r="N290" s="11">
        <v>0</v>
      </c>
      <c r="O290" s="4"/>
      <c r="P290" s="4"/>
      <c r="Q290" s="11">
        <v>0</v>
      </c>
      <c r="R290" s="4"/>
      <c r="S290" s="12"/>
    </row>
    <row r="291" spans="1:19" x14ac:dyDescent="0.25">
      <c r="A291" s="9" t="s">
        <v>93</v>
      </c>
      <c r="B291" s="9" t="s">
        <v>93</v>
      </c>
      <c r="C291" s="4">
        <v>201003459</v>
      </c>
      <c r="D291" s="4"/>
      <c r="E291" s="4" t="str">
        <f>"068842010"</f>
        <v>068842010</v>
      </c>
      <c r="F291" s="10">
        <v>40316</v>
      </c>
      <c r="G291" s="11">
        <v>14.9</v>
      </c>
      <c r="H291" s="11">
        <v>14.9</v>
      </c>
      <c r="I291" s="4" t="s">
        <v>1766</v>
      </c>
      <c r="J291" s="4" t="s">
        <v>1767</v>
      </c>
      <c r="K291" s="11">
        <v>0</v>
      </c>
      <c r="L291" s="4"/>
      <c r="M291" s="4"/>
      <c r="N291" s="11">
        <v>0</v>
      </c>
      <c r="O291" s="4"/>
      <c r="P291" s="4"/>
      <c r="Q291" s="11">
        <v>0</v>
      </c>
      <c r="R291" s="4"/>
      <c r="S291" s="12"/>
    </row>
    <row r="292" spans="1:19" x14ac:dyDescent="0.25">
      <c r="A292" s="9" t="s">
        <v>93</v>
      </c>
      <c r="B292" s="9" t="s">
        <v>93</v>
      </c>
      <c r="C292" s="4">
        <v>201003467</v>
      </c>
      <c r="D292" s="4"/>
      <c r="E292" s="4" t="str">
        <f>"074442010"</f>
        <v>074442010</v>
      </c>
      <c r="F292" s="10">
        <v>40338</v>
      </c>
      <c r="G292" s="11">
        <v>101.5</v>
      </c>
      <c r="H292" s="11">
        <v>101.5</v>
      </c>
      <c r="I292" s="4" t="s">
        <v>1766</v>
      </c>
      <c r="J292" s="4" t="s">
        <v>1767</v>
      </c>
      <c r="K292" s="11">
        <v>0</v>
      </c>
      <c r="L292" s="4"/>
      <c r="M292" s="4"/>
      <c r="N292" s="11">
        <v>0</v>
      </c>
      <c r="O292" s="4"/>
      <c r="P292" s="4"/>
      <c r="Q292" s="11">
        <v>0</v>
      </c>
      <c r="R292" s="4"/>
      <c r="S292" s="12"/>
    </row>
    <row r="293" spans="1:19" x14ac:dyDescent="0.25">
      <c r="A293" s="9" t="s">
        <v>93</v>
      </c>
      <c r="B293" s="9" t="s">
        <v>291</v>
      </c>
      <c r="C293" s="4">
        <v>201003470</v>
      </c>
      <c r="D293" s="4"/>
      <c r="E293" s="4" t="str">
        <f>"069782010"</f>
        <v>069782010</v>
      </c>
      <c r="F293" s="10">
        <v>40316</v>
      </c>
      <c r="G293" s="11">
        <v>51.06</v>
      </c>
      <c r="H293" s="11">
        <v>51.06</v>
      </c>
      <c r="I293" s="4" t="s">
        <v>1766</v>
      </c>
      <c r="J293" s="4" t="s">
        <v>1767</v>
      </c>
      <c r="K293" s="11">
        <v>0</v>
      </c>
      <c r="L293" s="4"/>
      <c r="M293" s="4"/>
      <c r="N293" s="11">
        <v>0</v>
      </c>
      <c r="O293" s="4"/>
      <c r="P293" s="4"/>
      <c r="Q293" s="11">
        <v>0</v>
      </c>
      <c r="R293" s="4"/>
      <c r="S293" s="12"/>
    </row>
    <row r="294" spans="1:19" x14ac:dyDescent="0.25">
      <c r="A294" s="9" t="s">
        <v>93</v>
      </c>
      <c r="B294" s="9" t="s">
        <v>93</v>
      </c>
      <c r="C294" s="4">
        <v>201003519</v>
      </c>
      <c r="D294" s="4"/>
      <c r="E294" s="4" t="str">
        <f>"070512010"</f>
        <v>070512010</v>
      </c>
      <c r="F294" s="10">
        <v>40316</v>
      </c>
      <c r="G294" s="11">
        <v>63.95</v>
      </c>
      <c r="H294" s="11">
        <v>63.95</v>
      </c>
      <c r="I294" s="4" t="s">
        <v>1766</v>
      </c>
      <c r="J294" s="4" t="s">
        <v>1767</v>
      </c>
      <c r="K294" s="11">
        <v>0</v>
      </c>
      <c r="L294" s="4"/>
      <c r="M294" s="4"/>
      <c r="N294" s="11">
        <v>0</v>
      </c>
      <c r="O294" s="4"/>
      <c r="P294" s="4"/>
      <c r="Q294" s="11">
        <v>0</v>
      </c>
      <c r="R294" s="4"/>
      <c r="S294" s="12"/>
    </row>
    <row r="295" spans="1:19" x14ac:dyDescent="0.25">
      <c r="A295" s="9" t="s">
        <v>93</v>
      </c>
      <c r="B295" s="9" t="s">
        <v>93</v>
      </c>
      <c r="C295" s="4">
        <v>201003527</v>
      </c>
      <c r="D295" s="4"/>
      <c r="E295" s="4" t="str">
        <f>"093972010"</f>
        <v>093972010</v>
      </c>
      <c r="F295" s="10">
        <v>40379</v>
      </c>
      <c r="G295" s="11">
        <v>10.35</v>
      </c>
      <c r="H295" s="11">
        <v>10.35</v>
      </c>
      <c r="I295" s="4" t="s">
        <v>1766</v>
      </c>
      <c r="J295" s="4" t="s">
        <v>1767</v>
      </c>
      <c r="K295" s="11">
        <v>0</v>
      </c>
      <c r="L295" s="4"/>
      <c r="M295" s="4"/>
      <c r="N295" s="11">
        <v>0</v>
      </c>
      <c r="O295" s="4"/>
      <c r="P295" s="4"/>
      <c r="Q295" s="11">
        <v>0</v>
      </c>
      <c r="R295" s="4"/>
      <c r="S295" s="12"/>
    </row>
    <row r="296" spans="1:19" x14ac:dyDescent="0.25">
      <c r="A296" s="9" t="s">
        <v>93</v>
      </c>
      <c r="B296" s="9" t="s">
        <v>93</v>
      </c>
      <c r="C296" s="4">
        <v>201003536</v>
      </c>
      <c r="D296" s="4"/>
      <c r="E296" s="4" t="str">
        <f>"091972010"</f>
        <v>091972010</v>
      </c>
      <c r="F296" s="10">
        <v>40372</v>
      </c>
      <c r="G296" s="11">
        <v>31.2</v>
      </c>
      <c r="H296" s="11">
        <v>31.2</v>
      </c>
      <c r="I296" s="4" t="s">
        <v>1766</v>
      </c>
      <c r="J296" s="4" t="s">
        <v>1767</v>
      </c>
      <c r="K296" s="11">
        <v>0</v>
      </c>
      <c r="L296" s="4"/>
      <c r="M296" s="4"/>
      <c r="N296" s="11">
        <v>0</v>
      </c>
      <c r="O296" s="4"/>
      <c r="P296" s="4"/>
      <c r="Q296" s="11">
        <v>0</v>
      </c>
      <c r="R296" s="4"/>
      <c r="S296" s="12"/>
    </row>
    <row r="297" spans="1:19" x14ac:dyDescent="0.25">
      <c r="A297" s="9" t="s">
        <v>93</v>
      </c>
      <c r="B297" s="9" t="s">
        <v>93</v>
      </c>
      <c r="C297" s="4">
        <v>201003556</v>
      </c>
      <c r="D297" s="4"/>
      <c r="E297" s="4" t="str">
        <f>"070312010"</f>
        <v>070312010</v>
      </c>
      <c r="F297" s="10">
        <v>40316</v>
      </c>
      <c r="G297" s="11">
        <v>99.95</v>
      </c>
      <c r="H297" s="11">
        <v>99.95</v>
      </c>
      <c r="I297" s="4" t="s">
        <v>1766</v>
      </c>
      <c r="J297" s="4" t="s">
        <v>1767</v>
      </c>
      <c r="K297" s="11">
        <v>0</v>
      </c>
      <c r="L297" s="4"/>
      <c r="M297" s="4"/>
      <c r="N297" s="11">
        <v>0</v>
      </c>
      <c r="O297" s="4"/>
      <c r="P297" s="4"/>
      <c r="Q297" s="11">
        <v>0</v>
      </c>
      <c r="R297" s="4"/>
      <c r="S297" s="12"/>
    </row>
    <row r="298" spans="1:19" x14ac:dyDescent="0.25">
      <c r="A298" s="9" t="s">
        <v>93</v>
      </c>
      <c r="B298" s="9" t="s">
        <v>93</v>
      </c>
      <c r="C298" s="4">
        <v>201003617</v>
      </c>
      <c r="D298" s="4"/>
      <c r="E298" s="4" t="str">
        <f>"078292010"</f>
        <v>078292010</v>
      </c>
      <c r="F298" s="10">
        <v>40344</v>
      </c>
      <c r="G298" s="11">
        <v>100</v>
      </c>
      <c r="H298" s="11">
        <v>100</v>
      </c>
      <c r="I298" s="4" t="s">
        <v>1766</v>
      </c>
      <c r="J298" s="4" t="s">
        <v>1767</v>
      </c>
      <c r="K298" s="11">
        <v>0</v>
      </c>
      <c r="L298" s="4"/>
      <c r="M298" s="4"/>
      <c r="N298" s="11">
        <v>0</v>
      </c>
      <c r="O298" s="4"/>
      <c r="P298" s="4"/>
      <c r="Q298" s="11">
        <v>0</v>
      </c>
      <c r="R298" s="4"/>
      <c r="S298" s="12"/>
    </row>
    <row r="299" spans="1:19" x14ac:dyDescent="0.25">
      <c r="A299" s="9" t="s">
        <v>93</v>
      </c>
      <c r="B299" s="9" t="s">
        <v>93</v>
      </c>
      <c r="C299" s="4">
        <v>201003622</v>
      </c>
      <c r="D299" s="4"/>
      <c r="E299" s="4" t="str">
        <f>"072012010"</f>
        <v>072012010</v>
      </c>
      <c r="F299" s="10">
        <v>40323</v>
      </c>
      <c r="G299" s="11">
        <v>74.650000000000006</v>
      </c>
      <c r="H299" s="11">
        <v>74.650000000000006</v>
      </c>
      <c r="I299" s="4" t="s">
        <v>1766</v>
      </c>
      <c r="J299" s="4" t="s">
        <v>1767</v>
      </c>
      <c r="K299" s="11">
        <v>0</v>
      </c>
      <c r="L299" s="4"/>
      <c r="M299" s="4"/>
      <c r="N299" s="11">
        <v>0</v>
      </c>
      <c r="O299" s="4"/>
      <c r="P299" s="4"/>
      <c r="Q299" s="11">
        <v>0</v>
      </c>
      <c r="R299" s="4"/>
      <c r="S299" s="12"/>
    </row>
    <row r="300" spans="1:19" x14ac:dyDescent="0.25">
      <c r="A300" s="9" t="s">
        <v>93</v>
      </c>
      <c r="B300" s="9" t="s">
        <v>93</v>
      </c>
      <c r="C300" s="4">
        <v>201003628</v>
      </c>
      <c r="D300" s="4"/>
      <c r="E300" s="4" t="str">
        <f>"071752010"</f>
        <v>071752010</v>
      </c>
      <c r="F300" s="10">
        <v>40319</v>
      </c>
      <c r="G300" s="11">
        <v>6.35</v>
      </c>
      <c r="H300" s="11">
        <v>6.35</v>
      </c>
      <c r="I300" s="4" t="s">
        <v>1766</v>
      </c>
      <c r="J300" s="4" t="s">
        <v>1767</v>
      </c>
      <c r="K300" s="11">
        <v>0</v>
      </c>
      <c r="L300" s="4"/>
      <c r="M300" s="4"/>
      <c r="N300" s="11">
        <v>0</v>
      </c>
      <c r="O300" s="4"/>
      <c r="P300" s="4"/>
      <c r="Q300" s="11">
        <v>0</v>
      </c>
      <c r="R300" s="4"/>
      <c r="S300" s="12"/>
    </row>
    <row r="301" spans="1:19" x14ac:dyDescent="0.25">
      <c r="A301" s="9" t="s">
        <v>93</v>
      </c>
      <c r="B301" s="9" t="s">
        <v>93</v>
      </c>
      <c r="C301" s="4">
        <v>201003629</v>
      </c>
      <c r="D301" s="4"/>
      <c r="E301" s="4" t="str">
        <f>"072512010"</f>
        <v>072512010</v>
      </c>
      <c r="F301" s="10">
        <v>40323</v>
      </c>
      <c r="G301" s="11">
        <v>20</v>
      </c>
      <c r="H301" s="11">
        <v>20</v>
      </c>
      <c r="I301" s="4" t="s">
        <v>1766</v>
      </c>
      <c r="J301" s="4" t="s">
        <v>1767</v>
      </c>
      <c r="K301" s="11">
        <v>0</v>
      </c>
      <c r="L301" s="4"/>
      <c r="M301" s="4"/>
      <c r="N301" s="11">
        <v>0</v>
      </c>
      <c r="O301" s="4"/>
      <c r="P301" s="4"/>
      <c r="Q301" s="11">
        <v>0</v>
      </c>
      <c r="R301" s="4"/>
      <c r="S301" s="12"/>
    </row>
    <row r="302" spans="1:19" x14ac:dyDescent="0.25">
      <c r="A302" s="9" t="s">
        <v>93</v>
      </c>
      <c r="B302" s="9" t="s">
        <v>93</v>
      </c>
      <c r="C302" s="4">
        <v>201003630</v>
      </c>
      <c r="D302" s="4"/>
      <c r="E302" s="4" t="str">
        <f>"071772010"</f>
        <v>071772010</v>
      </c>
      <c r="F302" s="10">
        <v>40319</v>
      </c>
      <c r="G302" s="11">
        <v>20.56</v>
      </c>
      <c r="H302" s="11">
        <v>20.56</v>
      </c>
      <c r="I302" s="4" t="s">
        <v>1766</v>
      </c>
      <c r="J302" s="4" t="s">
        <v>1767</v>
      </c>
      <c r="K302" s="11">
        <v>0</v>
      </c>
      <c r="L302" s="4"/>
      <c r="M302" s="4"/>
      <c r="N302" s="11">
        <v>0</v>
      </c>
      <c r="O302" s="4"/>
      <c r="P302" s="4"/>
      <c r="Q302" s="11">
        <v>0</v>
      </c>
      <c r="R302" s="4"/>
      <c r="S302" s="12"/>
    </row>
    <row r="303" spans="1:19" x14ac:dyDescent="0.25">
      <c r="A303" s="9" t="s">
        <v>93</v>
      </c>
      <c r="B303" s="9" t="s">
        <v>93</v>
      </c>
      <c r="C303" s="4">
        <v>201003632</v>
      </c>
      <c r="D303" s="4"/>
      <c r="E303" s="4" t="str">
        <f>"072052010"</f>
        <v>072052010</v>
      </c>
      <c r="F303" s="10">
        <v>40323</v>
      </c>
      <c r="G303" s="11">
        <v>50</v>
      </c>
      <c r="H303" s="11">
        <v>50</v>
      </c>
      <c r="I303" s="4" t="s">
        <v>1766</v>
      </c>
      <c r="J303" s="4" t="s">
        <v>1767</v>
      </c>
      <c r="K303" s="11">
        <v>0</v>
      </c>
      <c r="L303" s="4"/>
      <c r="M303" s="4"/>
      <c r="N303" s="11">
        <v>0</v>
      </c>
      <c r="O303" s="4"/>
      <c r="P303" s="4"/>
      <c r="Q303" s="11">
        <v>0</v>
      </c>
      <c r="R303" s="4"/>
      <c r="S303" s="12"/>
    </row>
    <row r="304" spans="1:19" x14ac:dyDescent="0.25">
      <c r="A304" s="9" t="s">
        <v>93</v>
      </c>
      <c r="B304" s="9" t="s">
        <v>93</v>
      </c>
      <c r="C304" s="4">
        <v>201003661</v>
      </c>
      <c r="D304" s="4"/>
      <c r="E304" s="4" t="str">
        <f>"073052010"</f>
        <v>073052010</v>
      </c>
      <c r="F304" s="10">
        <v>40324</v>
      </c>
      <c r="G304" s="11">
        <v>94.7</v>
      </c>
      <c r="H304" s="11">
        <v>94.7</v>
      </c>
      <c r="I304" s="4" t="s">
        <v>1766</v>
      </c>
      <c r="J304" s="4" t="s">
        <v>1767</v>
      </c>
      <c r="K304" s="11">
        <v>0</v>
      </c>
      <c r="L304" s="4"/>
      <c r="M304" s="4"/>
      <c r="N304" s="11">
        <v>0</v>
      </c>
      <c r="O304" s="4"/>
      <c r="P304" s="4"/>
      <c r="Q304" s="11">
        <v>0</v>
      </c>
      <c r="R304" s="4"/>
      <c r="S304" s="12"/>
    </row>
    <row r="305" spans="1:19" x14ac:dyDescent="0.25">
      <c r="A305" s="9" t="s">
        <v>93</v>
      </c>
      <c r="B305" s="9" t="s">
        <v>93</v>
      </c>
      <c r="C305" s="4">
        <v>201003667</v>
      </c>
      <c r="D305" s="4"/>
      <c r="E305" s="4" t="str">
        <f>"072792010"</f>
        <v>072792010</v>
      </c>
      <c r="F305" s="10">
        <v>40323</v>
      </c>
      <c r="G305" s="11">
        <v>30000</v>
      </c>
      <c r="H305" s="11">
        <v>30000</v>
      </c>
      <c r="I305" s="4" t="s">
        <v>931</v>
      </c>
      <c r="J305" s="4" t="s">
        <v>932</v>
      </c>
      <c r="K305" s="11">
        <v>0</v>
      </c>
      <c r="L305" s="4"/>
      <c r="M305" s="4"/>
      <c r="N305" s="11">
        <v>0</v>
      </c>
      <c r="O305" s="4"/>
      <c r="P305" s="4"/>
      <c r="Q305" s="11">
        <v>0</v>
      </c>
      <c r="R305" s="4"/>
      <c r="S305" s="12"/>
    </row>
    <row r="306" spans="1:19" x14ac:dyDescent="0.25">
      <c r="A306" s="9" t="s">
        <v>93</v>
      </c>
      <c r="B306" s="9" t="s">
        <v>93</v>
      </c>
      <c r="C306" s="4">
        <v>201003680</v>
      </c>
      <c r="D306" s="4"/>
      <c r="E306" s="4" t="str">
        <f>"076412010"</f>
        <v>076412010</v>
      </c>
      <c r="F306" s="10">
        <v>40338</v>
      </c>
      <c r="G306" s="11">
        <v>72.72</v>
      </c>
      <c r="H306" s="11">
        <v>72.72</v>
      </c>
      <c r="I306" s="4" t="s">
        <v>1766</v>
      </c>
      <c r="J306" s="4" t="s">
        <v>1767</v>
      </c>
      <c r="K306" s="11">
        <v>0</v>
      </c>
      <c r="L306" s="4"/>
      <c r="M306" s="4"/>
      <c r="N306" s="11">
        <v>0</v>
      </c>
      <c r="O306" s="4"/>
      <c r="P306" s="4"/>
      <c r="Q306" s="11">
        <v>0</v>
      </c>
      <c r="R306" s="4"/>
      <c r="S306" s="12"/>
    </row>
    <row r="307" spans="1:19" x14ac:dyDescent="0.25">
      <c r="A307" s="9" t="s">
        <v>93</v>
      </c>
      <c r="B307" s="9" t="s">
        <v>93</v>
      </c>
      <c r="C307" s="4">
        <v>201003684</v>
      </c>
      <c r="D307" s="4"/>
      <c r="E307" s="4" t="str">
        <f>"073152010"</f>
        <v>073152010</v>
      </c>
      <c r="F307" s="10">
        <v>40324</v>
      </c>
      <c r="G307" s="11">
        <v>202.65</v>
      </c>
      <c r="H307" s="11">
        <v>202.65</v>
      </c>
      <c r="I307" s="4" t="s">
        <v>1766</v>
      </c>
      <c r="J307" s="4" t="s">
        <v>1767</v>
      </c>
      <c r="K307" s="11">
        <v>0</v>
      </c>
      <c r="L307" s="4"/>
      <c r="M307" s="4"/>
      <c r="N307" s="11">
        <v>0</v>
      </c>
      <c r="O307" s="4"/>
      <c r="P307" s="4"/>
      <c r="Q307" s="11">
        <v>0</v>
      </c>
      <c r="R307" s="4"/>
      <c r="S307" s="12"/>
    </row>
    <row r="308" spans="1:19" x14ac:dyDescent="0.25">
      <c r="A308" s="9" t="s">
        <v>93</v>
      </c>
      <c r="B308" s="9" t="s">
        <v>93</v>
      </c>
      <c r="C308" s="4">
        <v>201003696</v>
      </c>
      <c r="D308" s="4"/>
      <c r="E308" s="4" t="str">
        <f>"073132010"</f>
        <v>073132010</v>
      </c>
      <c r="F308" s="10">
        <v>40324</v>
      </c>
      <c r="G308" s="11">
        <v>24.75</v>
      </c>
      <c r="H308" s="11">
        <v>24.75</v>
      </c>
      <c r="I308" s="4" t="s">
        <v>1766</v>
      </c>
      <c r="J308" s="4" t="s">
        <v>1767</v>
      </c>
      <c r="K308" s="11">
        <v>0</v>
      </c>
      <c r="L308" s="4"/>
      <c r="M308" s="4"/>
      <c r="N308" s="11">
        <v>0</v>
      </c>
      <c r="O308" s="4"/>
      <c r="P308" s="4"/>
      <c r="Q308" s="11">
        <v>0</v>
      </c>
      <c r="R308" s="4"/>
      <c r="S308" s="12"/>
    </row>
    <row r="309" spans="1:19" x14ac:dyDescent="0.25">
      <c r="A309" s="9" t="s">
        <v>93</v>
      </c>
      <c r="B309" s="9" t="s">
        <v>93</v>
      </c>
      <c r="C309" s="4">
        <v>201003751</v>
      </c>
      <c r="D309" s="4"/>
      <c r="E309" s="4" t="str">
        <f>"074902010"</f>
        <v>074902010</v>
      </c>
      <c r="F309" s="10">
        <v>40338</v>
      </c>
      <c r="G309" s="11">
        <v>11.55</v>
      </c>
      <c r="H309" s="11">
        <v>11.55</v>
      </c>
      <c r="I309" s="4" t="s">
        <v>1766</v>
      </c>
      <c r="J309" s="4" t="s">
        <v>1767</v>
      </c>
      <c r="K309" s="11">
        <v>0</v>
      </c>
      <c r="L309" s="4"/>
      <c r="M309" s="4"/>
      <c r="N309" s="11">
        <v>0</v>
      </c>
      <c r="O309" s="4"/>
      <c r="P309" s="4"/>
      <c r="Q309" s="11">
        <v>0</v>
      </c>
      <c r="R309" s="4"/>
      <c r="S309" s="12"/>
    </row>
    <row r="310" spans="1:19" x14ac:dyDescent="0.25">
      <c r="A310" s="9" t="s">
        <v>93</v>
      </c>
      <c r="B310" s="9" t="s">
        <v>93</v>
      </c>
      <c r="C310" s="4">
        <v>201003766</v>
      </c>
      <c r="D310" s="4"/>
      <c r="E310" s="4" t="str">
        <f>"074462010"</f>
        <v>074462010</v>
      </c>
      <c r="F310" s="10">
        <v>40338</v>
      </c>
      <c r="G310" s="11">
        <v>29.11</v>
      </c>
      <c r="H310" s="11">
        <v>29.11</v>
      </c>
      <c r="I310" s="4" t="s">
        <v>1766</v>
      </c>
      <c r="J310" s="4" t="s">
        <v>1767</v>
      </c>
      <c r="K310" s="11">
        <v>0</v>
      </c>
      <c r="L310" s="4"/>
      <c r="M310" s="4"/>
      <c r="N310" s="11">
        <v>0</v>
      </c>
      <c r="O310" s="4"/>
      <c r="P310" s="4"/>
      <c r="Q310" s="11">
        <v>0</v>
      </c>
      <c r="R310" s="4"/>
      <c r="S310" s="12"/>
    </row>
    <row r="311" spans="1:19" x14ac:dyDescent="0.25">
      <c r="A311" s="9" t="s">
        <v>93</v>
      </c>
      <c r="B311" s="9" t="s">
        <v>93</v>
      </c>
      <c r="C311" s="4">
        <v>201003831</v>
      </c>
      <c r="D311" s="4"/>
      <c r="E311" s="4" t="str">
        <f>"078372010"</f>
        <v>078372010</v>
      </c>
      <c r="F311" s="10">
        <v>40344</v>
      </c>
      <c r="G311" s="11">
        <v>99.99</v>
      </c>
      <c r="H311" s="11">
        <v>99.99</v>
      </c>
      <c r="I311" s="4" t="s">
        <v>1766</v>
      </c>
      <c r="J311" s="4" t="s">
        <v>1767</v>
      </c>
      <c r="K311" s="11">
        <v>0</v>
      </c>
      <c r="L311" s="4"/>
      <c r="M311" s="4"/>
      <c r="N311" s="11">
        <v>0</v>
      </c>
      <c r="O311" s="4"/>
      <c r="P311" s="4"/>
      <c r="Q311" s="11">
        <v>0</v>
      </c>
      <c r="R311" s="4"/>
      <c r="S311" s="12"/>
    </row>
    <row r="312" spans="1:19" x14ac:dyDescent="0.25">
      <c r="A312" s="9" t="s">
        <v>93</v>
      </c>
      <c r="B312" s="9" t="s">
        <v>93</v>
      </c>
      <c r="C312" s="4">
        <v>201003853</v>
      </c>
      <c r="D312" s="4"/>
      <c r="E312" s="4" t="str">
        <f>"077162010"</f>
        <v>077162010</v>
      </c>
      <c r="F312" s="10">
        <v>40344</v>
      </c>
      <c r="G312" s="11">
        <v>100</v>
      </c>
      <c r="H312" s="11">
        <v>100</v>
      </c>
      <c r="I312" s="4" t="s">
        <v>1766</v>
      </c>
      <c r="J312" s="4" t="s">
        <v>1767</v>
      </c>
      <c r="K312" s="11">
        <v>0</v>
      </c>
      <c r="L312" s="4"/>
      <c r="M312" s="4"/>
      <c r="N312" s="11">
        <v>0</v>
      </c>
      <c r="O312" s="4"/>
      <c r="P312" s="4"/>
      <c r="Q312" s="11">
        <v>0</v>
      </c>
      <c r="R312" s="4"/>
      <c r="S312" s="12"/>
    </row>
    <row r="313" spans="1:19" x14ac:dyDescent="0.25">
      <c r="A313" s="9" t="s">
        <v>93</v>
      </c>
      <c r="B313" s="9" t="s">
        <v>93</v>
      </c>
      <c r="C313" s="4">
        <v>201003870</v>
      </c>
      <c r="D313" s="4"/>
      <c r="E313" s="4" t="str">
        <f>"077512010"</f>
        <v>077512010</v>
      </c>
      <c r="F313" s="10">
        <v>40344</v>
      </c>
      <c r="G313" s="11">
        <v>13.5</v>
      </c>
      <c r="H313" s="11">
        <v>13.5</v>
      </c>
      <c r="I313" s="4" t="s">
        <v>1766</v>
      </c>
      <c r="J313" s="4" t="s">
        <v>1767</v>
      </c>
      <c r="K313" s="11">
        <v>0</v>
      </c>
      <c r="L313" s="4"/>
      <c r="M313" s="4"/>
      <c r="N313" s="11">
        <v>0</v>
      </c>
      <c r="O313" s="4"/>
      <c r="P313" s="4"/>
      <c r="Q313" s="11">
        <v>0</v>
      </c>
      <c r="R313" s="4"/>
      <c r="S313" s="12"/>
    </row>
    <row r="314" spans="1:19" x14ac:dyDescent="0.25">
      <c r="A314" s="9" t="s">
        <v>93</v>
      </c>
      <c r="B314" s="9" t="s">
        <v>93</v>
      </c>
      <c r="C314" s="4">
        <v>201003889</v>
      </c>
      <c r="D314" s="4"/>
      <c r="E314" s="4" t="str">
        <f>"076022010"</f>
        <v>076022010</v>
      </c>
      <c r="F314" s="10">
        <v>40338</v>
      </c>
      <c r="G314" s="11">
        <v>62.95</v>
      </c>
      <c r="H314" s="11">
        <v>62.95</v>
      </c>
      <c r="I314" s="4" t="s">
        <v>1766</v>
      </c>
      <c r="J314" s="4" t="s">
        <v>1767</v>
      </c>
      <c r="K314" s="11">
        <v>0</v>
      </c>
      <c r="L314" s="4"/>
      <c r="M314" s="4"/>
      <c r="N314" s="11">
        <v>0</v>
      </c>
      <c r="O314" s="4"/>
      <c r="P314" s="4"/>
      <c r="Q314" s="11">
        <v>0</v>
      </c>
      <c r="R314" s="4"/>
      <c r="S314" s="12"/>
    </row>
    <row r="315" spans="1:19" x14ac:dyDescent="0.25">
      <c r="A315" s="9" t="s">
        <v>93</v>
      </c>
      <c r="B315" s="9" t="s">
        <v>93</v>
      </c>
      <c r="C315" s="4">
        <v>201003946</v>
      </c>
      <c r="D315" s="4"/>
      <c r="E315" s="4" t="str">
        <f>"078902010"</f>
        <v>078902010</v>
      </c>
      <c r="F315" s="10">
        <v>40344</v>
      </c>
      <c r="G315" s="11">
        <v>31.75</v>
      </c>
      <c r="H315" s="11">
        <v>31.75</v>
      </c>
      <c r="I315" s="4" t="s">
        <v>1766</v>
      </c>
      <c r="J315" s="4" t="s">
        <v>1767</v>
      </c>
      <c r="K315" s="11">
        <v>0</v>
      </c>
      <c r="L315" s="4"/>
      <c r="M315" s="4"/>
      <c r="N315" s="11">
        <v>0</v>
      </c>
      <c r="O315" s="4"/>
      <c r="P315" s="4"/>
      <c r="Q315" s="11">
        <v>0</v>
      </c>
      <c r="R315" s="4"/>
      <c r="S315" s="12"/>
    </row>
    <row r="316" spans="1:19" x14ac:dyDescent="0.25">
      <c r="A316" s="9" t="s">
        <v>93</v>
      </c>
      <c r="B316" s="9" t="s">
        <v>93</v>
      </c>
      <c r="C316" s="4">
        <v>201003985</v>
      </c>
      <c r="D316" s="4"/>
      <c r="E316" s="4" t="str">
        <f>"079842010"</f>
        <v>079842010</v>
      </c>
      <c r="F316" s="10">
        <v>40345</v>
      </c>
      <c r="G316" s="11">
        <v>54.2</v>
      </c>
      <c r="H316" s="11">
        <v>54.2</v>
      </c>
      <c r="I316" s="4" t="s">
        <v>1766</v>
      </c>
      <c r="J316" s="4" t="s">
        <v>1767</v>
      </c>
      <c r="K316" s="11">
        <v>0</v>
      </c>
      <c r="L316" s="4"/>
      <c r="M316" s="4"/>
      <c r="N316" s="11">
        <v>0</v>
      </c>
      <c r="O316" s="4"/>
      <c r="P316" s="4"/>
      <c r="Q316" s="11">
        <v>0</v>
      </c>
      <c r="R316" s="4"/>
      <c r="S316" s="12"/>
    </row>
    <row r="317" spans="1:19" x14ac:dyDescent="0.25">
      <c r="A317" s="9" t="s">
        <v>93</v>
      </c>
      <c r="B317" s="9" t="s">
        <v>93</v>
      </c>
      <c r="C317" s="4">
        <v>201003996</v>
      </c>
      <c r="D317" s="4"/>
      <c r="E317" s="4" t="str">
        <f>"079742010"</f>
        <v>079742010</v>
      </c>
      <c r="F317" s="10">
        <v>40345</v>
      </c>
      <c r="G317" s="11">
        <v>20.53</v>
      </c>
      <c r="H317" s="11">
        <v>20.53</v>
      </c>
      <c r="I317" s="4" t="s">
        <v>1766</v>
      </c>
      <c r="J317" s="4" t="s">
        <v>1767</v>
      </c>
      <c r="K317" s="11">
        <v>0</v>
      </c>
      <c r="L317" s="4"/>
      <c r="M317" s="4"/>
      <c r="N317" s="11">
        <v>0</v>
      </c>
      <c r="O317" s="4"/>
      <c r="P317" s="4"/>
      <c r="Q317" s="11">
        <v>0</v>
      </c>
      <c r="R317" s="4"/>
      <c r="S317" s="12"/>
    </row>
    <row r="318" spans="1:19" x14ac:dyDescent="0.25">
      <c r="A318" s="9" t="s">
        <v>93</v>
      </c>
      <c r="B318" s="9" t="s">
        <v>93</v>
      </c>
      <c r="C318" s="4">
        <v>201004002</v>
      </c>
      <c r="D318" s="4"/>
      <c r="E318" s="4" t="str">
        <f>"079322010"</f>
        <v>079322010</v>
      </c>
      <c r="F318" s="10">
        <v>40345</v>
      </c>
      <c r="G318" s="11">
        <v>48.25</v>
      </c>
      <c r="H318" s="11">
        <v>48.25</v>
      </c>
      <c r="I318" s="4" t="s">
        <v>1766</v>
      </c>
      <c r="J318" s="4" t="s">
        <v>1767</v>
      </c>
      <c r="K318" s="11">
        <v>0</v>
      </c>
      <c r="L318" s="4"/>
      <c r="M318" s="4"/>
      <c r="N318" s="11">
        <v>0</v>
      </c>
      <c r="O318" s="4"/>
      <c r="P318" s="4"/>
      <c r="Q318" s="11">
        <v>0</v>
      </c>
      <c r="R318" s="4"/>
      <c r="S318" s="12"/>
    </row>
    <row r="319" spans="1:19" x14ac:dyDescent="0.25">
      <c r="A319" s="9" t="s">
        <v>93</v>
      </c>
      <c r="B319" s="9" t="s">
        <v>93</v>
      </c>
      <c r="C319" s="4">
        <v>201004018</v>
      </c>
      <c r="D319" s="4"/>
      <c r="E319" s="4" t="str">
        <f>"085602010"</f>
        <v>085602010</v>
      </c>
      <c r="F319" s="10">
        <v>40357</v>
      </c>
      <c r="G319" s="11">
        <v>27.18</v>
      </c>
      <c r="H319" s="11">
        <v>27.18</v>
      </c>
      <c r="I319" s="4" t="s">
        <v>1766</v>
      </c>
      <c r="J319" s="4" t="s">
        <v>1767</v>
      </c>
      <c r="K319" s="11">
        <v>0</v>
      </c>
      <c r="L319" s="4"/>
      <c r="M319" s="4"/>
      <c r="N319" s="11">
        <v>0</v>
      </c>
      <c r="O319" s="4"/>
      <c r="P319" s="4"/>
      <c r="Q319" s="11">
        <v>0</v>
      </c>
      <c r="R319" s="4"/>
      <c r="S319" s="12"/>
    </row>
    <row r="320" spans="1:19" x14ac:dyDescent="0.25">
      <c r="A320" s="9" t="s">
        <v>93</v>
      </c>
      <c r="B320" s="9" t="s">
        <v>93</v>
      </c>
      <c r="C320" s="4">
        <v>201004074</v>
      </c>
      <c r="D320" s="4"/>
      <c r="E320" s="4" t="str">
        <f>"080722010"</f>
        <v>080722010</v>
      </c>
      <c r="F320" s="10">
        <v>40357</v>
      </c>
      <c r="G320" s="11">
        <v>36.619999999999997</v>
      </c>
      <c r="H320" s="11">
        <v>36.619999999999997</v>
      </c>
      <c r="I320" s="4" t="s">
        <v>1766</v>
      </c>
      <c r="J320" s="4" t="s">
        <v>1767</v>
      </c>
      <c r="K320" s="11">
        <v>0</v>
      </c>
      <c r="L320" s="4"/>
      <c r="M320" s="4"/>
      <c r="N320" s="11">
        <v>0</v>
      </c>
      <c r="O320" s="4"/>
      <c r="P320" s="4"/>
      <c r="Q320" s="11">
        <v>0</v>
      </c>
      <c r="R320" s="4"/>
      <c r="S320" s="12"/>
    </row>
    <row r="321" spans="1:19" x14ac:dyDescent="0.25">
      <c r="A321" s="9" t="s">
        <v>93</v>
      </c>
      <c r="B321" s="9" t="s">
        <v>93</v>
      </c>
      <c r="C321" s="4">
        <v>201004148</v>
      </c>
      <c r="D321" s="4"/>
      <c r="E321" s="4" t="str">
        <f>"082062010"</f>
        <v>082062010</v>
      </c>
      <c r="F321" s="10">
        <v>40357</v>
      </c>
      <c r="G321" s="11">
        <v>49.95</v>
      </c>
      <c r="H321" s="11">
        <v>49.95</v>
      </c>
      <c r="I321" s="4" t="s">
        <v>1766</v>
      </c>
      <c r="J321" s="4" t="s">
        <v>1767</v>
      </c>
      <c r="K321" s="11">
        <v>0</v>
      </c>
      <c r="L321" s="4"/>
      <c r="M321" s="4"/>
      <c r="N321" s="11">
        <v>0</v>
      </c>
      <c r="O321" s="4"/>
      <c r="P321" s="4"/>
      <c r="Q321" s="11">
        <v>0</v>
      </c>
      <c r="R321" s="4"/>
      <c r="S321" s="12"/>
    </row>
    <row r="322" spans="1:19" x14ac:dyDescent="0.25">
      <c r="A322" s="9" t="s">
        <v>93</v>
      </c>
      <c r="B322" s="9" t="s">
        <v>93</v>
      </c>
      <c r="C322" s="4">
        <v>201004150</v>
      </c>
      <c r="D322" s="4"/>
      <c r="E322" s="4" t="str">
        <f>"109672010"</f>
        <v>109672010</v>
      </c>
      <c r="F322" s="10">
        <v>40431</v>
      </c>
      <c r="G322" s="11">
        <v>119.92</v>
      </c>
      <c r="H322" s="11">
        <v>119.92</v>
      </c>
      <c r="I322" s="4" t="s">
        <v>1766</v>
      </c>
      <c r="J322" s="4" t="s">
        <v>1767</v>
      </c>
      <c r="K322" s="11">
        <v>0</v>
      </c>
      <c r="L322" s="4"/>
      <c r="M322" s="4"/>
      <c r="N322" s="11">
        <v>0</v>
      </c>
      <c r="O322" s="4"/>
      <c r="P322" s="4"/>
      <c r="Q322" s="11">
        <v>0</v>
      </c>
      <c r="R322" s="4"/>
      <c r="S322" s="12"/>
    </row>
    <row r="323" spans="1:19" x14ac:dyDescent="0.25">
      <c r="A323" s="9" t="s">
        <v>93</v>
      </c>
      <c r="B323" s="9" t="s">
        <v>93</v>
      </c>
      <c r="C323" s="4">
        <v>201004153</v>
      </c>
      <c r="D323" s="4"/>
      <c r="E323" s="4" t="str">
        <f>"082212010"</f>
        <v>082212010</v>
      </c>
      <c r="F323" s="10">
        <v>40357</v>
      </c>
      <c r="G323" s="11">
        <v>100</v>
      </c>
      <c r="H323" s="11">
        <v>100</v>
      </c>
      <c r="I323" s="4" t="s">
        <v>1766</v>
      </c>
      <c r="J323" s="4" t="s">
        <v>1767</v>
      </c>
      <c r="K323" s="11">
        <v>0</v>
      </c>
      <c r="L323" s="4"/>
      <c r="M323" s="4"/>
      <c r="N323" s="11">
        <v>0</v>
      </c>
      <c r="O323" s="4"/>
      <c r="P323" s="4"/>
      <c r="Q323" s="11">
        <v>0</v>
      </c>
      <c r="R323" s="4"/>
      <c r="S323" s="12"/>
    </row>
    <row r="324" spans="1:19" x14ac:dyDescent="0.25">
      <c r="A324" s="9" t="s">
        <v>93</v>
      </c>
      <c r="B324" s="9" t="s">
        <v>93</v>
      </c>
      <c r="C324" s="4">
        <v>201004157</v>
      </c>
      <c r="D324" s="4"/>
      <c r="E324" s="4" t="str">
        <f>"082372010"</f>
        <v>082372010</v>
      </c>
      <c r="F324" s="10">
        <v>40357</v>
      </c>
      <c r="G324" s="11">
        <v>101.72</v>
      </c>
      <c r="H324" s="11">
        <v>101.72</v>
      </c>
      <c r="I324" s="4" t="s">
        <v>1766</v>
      </c>
      <c r="J324" s="4" t="s">
        <v>1767</v>
      </c>
      <c r="K324" s="11">
        <v>0</v>
      </c>
      <c r="L324" s="4"/>
      <c r="M324" s="4"/>
      <c r="N324" s="11">
        <v>0</v>
      </c>
      <c r="O324" s="4"/>
      <c r="P324" s="4"/>
      <c r="Q324" s="11">
        <v>0</v>
      </c>
      <c r="R324" s="4"/>
      <c r="S324" s="12"/>
    </row>
    <row r="325" spans="1:19" x14ac:dyDescent="0.25">
      <c r="A325" s="9" t="s">
        <v>93</v>
      </c>
      <c r="B325" s="9" t="s">
        <v>93</v>
      </c>
      <c r="C325" s="4">
        <v>201004159</v>
      </c>
      <c r="D325" s="4"/>
      <c r="E325" s="4" t="str">
        <f>"082252010"</f>
        <v>082252010</v>
      </c>
      <c r="F325" s="10">
        <v>40357</v>
      </c>
      <c r="G325" s="11">
        <v>100</v>
      </c>
      <c r="H325" s="11">
        <v>100</v>
      </c>
      <c r="I325" s="4" t="s">
        <v>1766</v>
      </c>
      <c r="J325" s="4" t="s">
        <v>1767</v>
      </c>
      <c r="K325" s="11">
        <v>0</v>
      </c>
      <c r="L325" s="4"/>
      <c r="M325" s="4"/>
      <c r="N325" s="11">
        <v>0</v>
      </c>
      <c r="O325" s="4"/>
      <c r="P325" s="4"/>
      <c r="Q325" s="11">
        <v>0</v>
      </c>
      <c r="R325" s="4"/>
      <c r="S325" s="12"/>
    </row>
    <row r="326" spans="1:19" x14ac:dyDescent="0.25">
      <c r="A326" s="9" t="s">
        <v>93</v>
      </c>
      <c r="B326" s="9" t="s">
        <v>93</v>
      </c>
      <c r="C326" s="4">
        <v>201004162</v>
      </c>
      <c r="D326" s="4"/>
      <c r="E326" s="4" t="str">
        <f>"083092010"</f>
        <v>083092010</v>
      </c>
      <c r="F326" s="10">
        <v>40357</v>
      </c>
      <c r="G326" s="11">
        <v>40.049999999999997</v>
      </c>
      <c r="H326" s="11">
        <v>40.049999999999997</v>
      </c>
      <c r="I326" s="4" t="s">
        <v>1766</v>
      </c>
      <c r="J326" s="4" t="s">
        <v>1767</v>
      </c>
      <c r="K326" s="11">
        <v>0</v>
      </c>
      <c r="L326" s="4"/>
      <c r="M326" s="4"/>
      <c r="N326" s="11">
        <v>0</v>
      </c>
      <c r="O326" s="4"/>
      <c r="P326" s="4"/>
      <c r="Q326" s="11">
        <v>0</v>
      </c>
      <c r="R326" s="4"/>
      <c r="S326" s="12"/>
    </row>
    <row r="327" spans="1:19" x14ac:dyDescent="0.25">
      <c r="A327" s="9" t="s">
        <v>93</v>
      </c>
      <c r="B327" s="9" t="s">
        <v>93</v>
      </c>
      <c r="C327" s="4">
        <v>201004177</v>
      </c>
      <c r="D327" s="4"/>
      <c r="E327" s="4" t="str">
        <f>"082712010"</f>
        <v>082712010</v>
      </c>
      <c r="F327" s="10">
        <v>40357</v>
      </c>
      <c r="G327" s="11">
        <v>23.75</v>
      </c>
      <c r="H327" s="11">
        <v>23.75</v>
      </c>
      <c r="I327" s="4" t="s">
        <v>1766</v>
      </c>
      <c r="J327" s="4" t="s">
        <v>1767</v>
      </c>
      <c r="K327" s="11">
        <v>0</v>
      </c>
      <c r="L327" s="4"/>
      <c r="M327" s="4"/>
      <c r="N327" s="11">
        <v>0</v>
      </c>
      <c r="O327" s="4"/>
      <c r="P327" s="4"/>
      <c r="Q327" s="11">
        <v>0</v>
      </c>
      <c r="R327" s="4"/>
      <c r="S327" s="12"/>
    </row>
    <row r="328" spans="1:19" x14ac:dyDescent="0.25">
      <c r="A328" s="9" t="s">
        <v>93</v>
      </c>
      <c r="B328" s="9" t="s">
        <v>93</v>
      </c>
      <c r="C328" s="4">
        <v>201004217</v>
      </c>
      <c r="D328" s="4"/>
      <c r="E328" s="4" t="str">
        <f>"083802010"</f>
        <v>083802010</v>
      </c>
      <c r="F328" s="10">
        <v>40357</v>
      </c>
      <c r="G328" s="11">
        <v>12.6</v>
      </c>
      <c r="H328" s="11">
        <v>12.6</v>
      </c>
      <c r="I328" s="4" t="s">
        <v>1766</v>
      </c>
      <c r="J328" s="4" t="s">
        <v>1767</v>
      </c>
      <c r="K328" s="11">
        <v>0</v>
      </c>
      <c r="L328" s="4"/>
      <c r="M328" s="4"/>
      <c r="N328" s="11">
        <v>0</v>
      </c>
      <c r="O328" s="4"/>
      <c r="P328" s="4"/>
      <c r="Q328" s="11">
        <v>0</v>
      </c>
      <c r="R328" s="4"/>
      <c r="S328" s="12"/>
    </row>
    <row r="329" spans="1:19" x14ac:dyDescent="0.25">
      <c r="A329" s="9" t="s">
        <v>93</v>
      </c>
      <c r="B329" s="9" t="s">
        <v>93</v>
      </c>
      <c r="C329" s="4">
        <v>201004219</v>
      </c>
      <c r="D329" s="4"/>
      <c r="E329" s="4" t="str">
        <f>"083662010"</f>
        <v>083662010</v>
      </c>
      <c r="F329" s="10">
        <v>40357</v>
      </c>
      <c r="G329" s="11">
        <v>50.54</v>
      </c>
      <c r="H329" s="11">
        <v>50.54</v>
      </c>
      <c r="I329" s="4" t="s">
        <v>1766</v>
      </c>
      <c r="J329" s="4" t="s">
        <v>1767</v>
      </c>
      <c r="K329" s="11">
        <v>0</v>
      </c>
      <c r="L329" s="4"/>
      <c r="M329" s="4"/>
      <c r="N329" s="11">
        <v>0</v>
      </c>
      <c r="O329" s="4"/>
      <c r="P329" s="4"/>
      <c r="Q329" s="11">
        <v>0</v>
      </c>
      <c r="R329" s="4"/>
      <c r="S329" s="12"/>
    </row>
    <row r="330" spans="1:19" x14ac:dyDescent="0.25">
      <c r="A330" s="9" t="s">
        <v>93</v>
      </c>
      <c r="B330" s="9" t="s">
        <v>93</v>
      </c>
      <c r="C330" s="4">
        <v>201004257</v>
      </c>
      <c r="D330" s="4"/>
      <c r="E330" s="4" t="str">
        <f>"084022010"</f>
        <v>084022010</v>
      </c>
      <c r="F330" s="10">
        <v>40357</v>
      </c>
      <c r="G330" s="11">
        <v>33</v>
      </c>
      <c r="H330" s="11">
        <v>33</v>
      </c>
      <c r="I330" s="4" t="s">
        <v>1766</v>
      </c>
      <c r="J330" s="4" t="s">
        <v>1767</v>
      </c>
      <c r="K330" s="11">
        <v>0</v>
      </c>
      <c r="L330" s="4"/>
      <c r="M330" s="4"/>
      <c r="N330" s="11">
        <v>0</v>
      </c>
      <c r="O330" s="4"/>
      <c r="P330" s="4"/>
      <c r="Q330" s="11">
        <v>0</v>
      </c>
      <c r="R330" s="4"/>
      <c r="S330" s="12"/>
    </row>
    <row r="331" spans="1:19" x14ac:dyDescent="0.25">
      <c r="A331" s="9" t="s">
        <v>93</v>
      </c>
      <c r="B331" s="9" t="s">
        <v>93</v>
      </c>
      <c r="C331" s="4">
        <v>201004258</v>
      </c>
      <c r="D331" s="4"/>
      <c r="E331" s="4" t="str">
        <f>"084062010"</f>
        <v>084062010</v>
      </c>
      <c r="F331" s="10">
        <v>40357</v>
      </c>
      <c r="G331" s="11">
        <v>54</v>
      </c>
      <c r="H331" s="11">
        <v>54</v>
      </c>
      <c r="I331" s="4" t="s">
        <v>1766</v>
      </c>
      <c r="J331" s="4" t="s">
        <v>1767</v>
      </c>
      <c r="K331" s="11">
        <v>0</v>
      </c>
      <c r="L331" s="4"/>
      <c r="M331" s="4"/>
      <c r="N331" s="11">
        <v>0</v>
      </c>
      <c r="O331" s="4"/>
      <c r="P331" s="4"/>
      <c r="Q331" s="11">
        <v>0</v>
      </c>
      <c r="R331" s="4"/>
      <c r="S331" s="12"/>
    </row>
    <row r="332" spans="1:19" x14ac:dyDescent="0.25">
      <c r="A332" s="9" t="s">
        <v>93</v>
      </c>
      <c r="B332" s="9" t="s">
        <v>93</v>
      </c>
      <c r="C332" s="4">
        <v>201004259</v>
      </c>
      <c r="D332" s="4"/>
      <c r="E332" s="4" t="str">
        <f>"084082010"</f>
        <v>084082010</v>
      </c>
      <c r="F332" s="10">
        <v>40357</v>
      </c>
      <c r="G332" s="11">
        <v>70.8</v>
      </c>
      <c r="H332" s="11">
        <v>70.8</v>
      </c>
      <c r="I332" s="4" t="s">
        <v>1766</v>
      </c>
      <c r="J332" s="4" t="s">
        <v>1767</v>
      </c>
      <c r="K332" s="11">
        <v>0</v>
      </c>
      <c r="L332" s="4"/>
      <c r="M332" s="4"/>
      <c r="N332" s="11">
        <v>0</v>
      </c>
      <c r="O332" s="4"/>
      <c r="P332" s="4"/>
      <c r="Q332" s="11">
        <v>0</v>
      </c>
      <c r="R332" s="4"/>
      <c r="S332" s="12"/>
    </row>
    <row r="333" spans="1:19" x14ac:dyDescent="0.25">
      <c r="A333" s="9" t="s">
        <v>93</v>
      </c>
      <c r="B333" s="9" t="s">
        <v>93</v>
      </c>
      <c r="C333" s="4">
        <v>201004260</v>
      </c>
      <c r="D333" s="4"/>
      <c r="E333" s="4" t="str">
        <f>"084182010"</f>
        <v>084182010</v>
      </c>
      <c r="F333" s="10">
        <v>40357</v>
      </c>
      <c r="G333" s="11">
        <v>22.75</v>
      </c>
      <c r="H333" s="11">
        <v>22.75</v>
      </c>
      <c r="I333" s="4" t="s">
        <v>1766</v>
      </c>
      <c r="J333" s="4" t="s">
        <v>1767</v>
      </c>
      <c r="K333" s="11">
        <v>0</v>
      </c>
      <c r="L333" s="4"/>
      <c r="M333" s="4"/>
      <c r="N333" s="11">
        <v>0</v>
      </c>
      <c r="O333" s="4"/>
      <c r="P333" s="4"/>
      <c r="Q333" s="11">
        <v>0</v>
      </c>
      <c r="R333" s="4"/>
      <c r="S333" s="12"/>
    </row>
    <row r="334" spans="1:19" x14ac:dyDescent="0.25">
      <c r="A334" s="9" t="s">
        <v>93</v>
      </c>
      <c r="B334" s="9" t="s">
        <v>93</v>
      </c>
      <c r="C334" s="4">
        <v>201004268</v>
      </c>
      <c r="D334" s="4"/>
      <c r="E334" s="4" t="str">
        <f>"084262010"</f>
        <v>084262010</v>
      </c>
      <c r="F334" s="10">
        <v>40357</v>
      </c>
      <c r="G334" s="11">
        <v>100</v>
      </c>
      <c r="H334" s="11">
        <v>100</v>
      </c>
      <c r="I334" s="4" t="s">
        <v>1766</v>
      </c>
      <c r="J334" s="4" t="s">
        <v>1767</v>
      </c>
      <c r="K334" s="11">
        <v>0</v>
      </c>
      <c r="L334" s="4"/>
      <c r="M334" s="4"/>
      <c r="N334" s="11">
        <v>0</v>
      </c>
      <c r="O334" s="4"/>
      <c r="P334" s="4"/>
      <c r="Q334" s="11">
        <v>0</v>
      </c>
      <c r="R334" s="4"/>
      <c r="S334" s="12"/>
    </row>
    <row r="335" spans="1:19" x14ac:dyDescent="0.25">
      <c r="A335" s="9" t="s">
        <v>93</v>
      </c>
      <c r="B335" s="9" t="s">
        <v>93</v>
      </c>
      <c r="C335" s="4">
        <v>201004292</v>
      </c>
      <c r="D335" s="4"/>
      <c r="E335" s="4" t="str">
        <f>"085582010"</f>
        <v>085582010</v>
      </c>
      <c r="F335" s="10">
        <v>40357</v>
      </c>
      <c r="G335" s="11">
        <v>55.6</v>
      </c>
      <c r="H335" s="11">
        <v>55.6</v>
      </c>
      <c r="I335" s="4" t="s">
        <v>1766</v>
      </c>
      <c r="J335" s="4" t="s">
        <v>1767</v>
      </c>
      <c r="K335" s="11">
        <v>0</v>
      </c>
      <c r="L335" s="4"/>
      <c r="M335" s="4"/>
      <c r="N335" s="11">
        <v>0</v>
      </c>
      <c r="O335" s="4"/>
      <c r="P335" s="4"/>
      <c r="Q335" s="11">
        <v>0</v>
      </c>
      <c r="R335" s="4"/>
      <c r="S335" s="12"/>
    </row>
    <row r="336" spans="1:19" x14ac:dyDescent="0.25">
      <c r="A336" s="9" t="s">
        <v>93</v>
      </c>
      <c r="B336" s="9" t="s">
        <v>93</v>
      </c>
      <c r="C336" s="4">
        <v>201004296</v>
      </c>
      <c r="D336" s="4"/>
      <c r="E336" s="4" t="str">
        <f>"084802010"</f>
        <v>084802010</v>
      </c>
      <c r="F336" s="10">
        <v>40357</v>
      </c>
      <c r="G336" s="11">
        <v>59.29</v>
      </c>
      <c r="H336" s="11">
        <v>59.29</v>
      </c>
      <c r="I336" s="4" t="s">
        <v>1766</v>
      </c>
      <c r="J336" s="4" t="s">
        <v>1767</v>
      </c>
      <c r="K336" s="11">
        <v>0</v>
      </c>
      <c r="L336" s="4"/>
      <c r="M336" s="4"/>
      <c r="N336" s="11">
        <v>0</v>
      </c>
      <c r="O336" s="4"/>
      <c r="P336" s="4"/>
      <c r="Q336" s="11">
        <v>0</v>
      </c>
      <c r="R336" s="4"/>
      <c r="S336" s="12"/>
    </row>
    <row r="337" spans="1:19" x14ac:dyDescent="0.25">
      <c r="A337" s="9" t="s">
        <v>93</v>
      </c>
      <c r="B337" s="9" t="s">
        <v>93</v>
      </c>
      <c r="C337" s="4">
        <v>201004298</v>
      </c>
      <c r="D337" s="4"/>
      <c r="E337" s="4" t="str">
        <f>"084642010"</f>
        <v>084642010</v>
      </c>
      <c r="F337" s="10">
        <v>40357</v>
      </c>
      <c r="G337" s="11">
        <v>29.57</v>
      </c>
      <c r="H337" s="11">
        <v>29.57</v>
      </c>
      <c r="I337" s="4" t="s">
        <v>1766</v>
      </c>
      <c r="J337" s="4" t="s">
        <v>1767</v>
      </c>
      <c r="K337" s="11">
        <v>0</v>
      </c>
      <c r="L337" s="4"/>
      <c r="M337" s="4"/>
      <c r="N337" s="11">
        <v>0</v>
      </c>
      <c r="O337" s="4"/>
      <c r="P337" s="4"/>
      <c r="Q337" s="11">
        <v>0</v>
      </c>
      <c r="R337" s="4"/>
      <c r="S337" s="12"/>
    </row>
    <row r="338" spans="1:19" x14ac:dyDescent="0.25">
      <c r="A338" s="9" t="s">
        <v>93</v>
      </c>
      <c r="B338" s="9" t="s">
        <v>93</v>
      </c>
      <c r="C338" s="4">
        <v>201004346</v>
      </c>
      <c r="D338" s="4"/>
      <c r="E338" s="4" t="str">
        <f>"092862010"</f>
        <v>092862010</v>
      </c>
      <c r="F338" s="10">
        <v>40374</v>
      </c>
      <c r="G338" s="11">
        <v>115</v>
      </c>
      <c r="H338" s="11">
        <v>115</v>
      </c>
      <c r="I338" s="4" t="s">
        <v>1766</v>
      </c>
      <c r="J338" s="4" t="s">
        <v>1767</v>
      </c>
      <c r="K338" s="11">
        <v>0</v>
      </c>
      <c r="L338" s="4"/>
      <c r="M338" s="4"/>
      <c r="N338" s="11">
        <v>0</v>
      </c>
      <c r="O338" s="4"/>
      <c r="P338" s="4"/>
      <c r="Q338" s="11">
        <v>0</v>
      </c>
      <c r="R338" s="4"/>
      <c r="S338" s="12"/>
    </row>
    <row r="339" spans="1:19" x14ac:dyDescent="0.25">
      <c r="A339" s="9" t="s">
        <v>93</v>
      </c>
      <c r="B339" s="9" t="s">
        <v>93</v>
      </c>
      <c r="C339" s="4">
        <v>201004447</v>
      </c>
      <c r="D339" s="4"/>
      <c r="E339" s="4" t="str">
        <f>"089742010"</f>
        <v>089742010</v>
      </c>
      <c r="F339" s="10">
        <v>40367</v>
      </c>
      <c r="G339" s="11">
        <v>26.24</v>
      </c>
      <c r="H339" s="11">
        <v>26.24</v>
      </c>
      <c r="I339" s="4" t="s">
        <v>1766</v>
      </c>
      <c r="J339" s="4" t="s">
        <v>1767</v>
      </c>
      <c r="K339" s="11">
        <v>0</v>
      </c>
      <c r="L339" s="4"/>
      <c r="M339" s="4"/>
      <c r="N339" s="11">
        <v>0</v>
      </c>
      <c r="O339" s="4"/>
      <c r="P339" s="4"/>
      <c r="Q339" s="11">
        <v>0</v>
      </c>
      <c r="R339" s="4"/>
      <c r="S339" s="12"/>
    </row>
    <row r="340" spans="1:19" x14ac:dyDescent="0.25">
      <c r="A340" s="9" t="s">
        <v>93</v>
      </c>
      <c r="B340" s="9" t="s">
        <v>93</v>
      </c>
      <c r="C340" s="4">
        <v>201004449</v>
      </c>
      <c r="D340" s="4"/>
      <c r="E340" s="4" t="str">
        <f>"089722010"</f>
        <v>089722010</v>
      </c>
      <c r="F340" s="10">
        <v>40367</v>
      </c>
      <c r="G340" s="11">
        <v>6.5</v>
      </c>
      <c r="H340" s="11">
        <v>6.5</v>
      </c>
      <c r="I340" s="4" t="s">
        <v>1766</v>
      </c>
      <c r="J340" s="4" t="s">
        <v>1767</v>
      </c>
      <c r="K340" s="11">
        <v>0</v>
      </c>
      <c r="L340" s="4"/>
      <c r="M340" s="4"/>
      <c r="N340" s="11">
        <v>0</v>
      </c>
      <c r="O340" s="4"/>
      <c r="P340" s="4"/>
      <c r="Q340" s="11">
        <v>0</v>
      </c>
      <c r="R340" s="4"/>
      <c r="S340" s="12"/>
    </row>
    <row r="341" spans="1:19" x14ac:dyDescent="0.25">
      <c r="A341" s="9" t="s">
        <v>93</v>
      </c>
      <c r="B341" s="9" t="s">
        <v>93</v>
      </c>
      <c r="C341" s="4">
        <v>201004454</v>
      </c>
      <c r="D341" s="4"/>
      <c r="E341" s="4" t="str">
        <f>"089282010"</f>
        <v>089282010</v>
      </c>
      <c r="F341" s="10">
        <v>40367</v>
      </c>
      <c r="G341" s="11">
        <v>35.85</v>
      </c>
      <c r="H341" s="11">
        <v>35.85</v>
      </c>
      <c r="I341" s="4" t="s">
        <v>1766</v>
      </c>
      <c r="J341" s="4" t="s">
        <v>1767</v>
      </c>
      <c r="K341" s="11">
        <v>0</v>
      </c>
      <c r="L341" s="4"/>
      <c r="M341" s="4"/>
      <c r="N341" s="11">
        <v>0</v>
      </c>
      <c r="O341" s="4"/>
      <c r="P341" s="4"/>
      <c r="Q341" s="11">
        <v>0</v>
      </c>
      <c r="R341" s="4"/>
      <c r="S341" s="12"/>
    </row>
    <row r="342" spans="1:19" x14ac:dyDescent="0.25">
      <c r="A342" s="9" t="s">
        <v>93</v>
      </c>
      <c r="B342" s="9" t="s">
        <v>93</v>
      </c>
      <c r="C342" s="4">
        <v>201004508</v>
      </c>
      <c r="D342" s="4"/>
      <c r="E342" s="4" t="str">
        <f>"090682010"</f>
        <v>090682010</v>
      </c>
      <c r="F342" s="10">
        <v>40367</v>
      </c>
      <c r="G342" s="11">
        <v>58.6</v>
      </c>
      <c r="H342" s="11">
        <v>58.6</v>
      </c>
      <c r="I342" s="4" t="s">
        <v>1766</v>
      </c>
      <c r="J342" s="4" t="s">
        <v>1767</v>
      </c>
      <c r="K342" s="11">
        <v>0</v>
      </c>
      <c r="L342" s="4"/>
      <c r="M342" s="4"/>
      <c r="N342" s="11">
        <v>0</v>
      </c>
      <c r="O342" s="4"/>
      <c r="P342" s="4"/>
      <c r="Q342" s="11">
        <v>0</v>
      </c>
      <c r="R342" s="4"/>
      <c r="S342" s="12"/>
    </row>
    <row r="343" spans="1:19" x14ac:dyDescent="0.25">
      <c r="A343" s="9" t="s">
        <v>93</v>
      </c>
      <c r="B343" s="9" t="s">
        <v>93</v>
      </c>
      <c r="C343" s="4">
        <v>201004536</v>
      </c>
      <c r="D343" s="4"/>
      <c r="E343" s="4" t="str">
        <f>"090122010"</f>
        <v>090122010</v>
      </c>
      <c r="F343" s="10">
        <v>40367</v>
      </c>
      <c r="G343" s="11">
        <v>100</v>
      </c>
      <c r="H343" s="11">
        <v>100</v>
      </c>
      <c r="I343" s="4" t="s">
        <v>1766</v>
      </c>
      <c r="J343" s="4" t="s">
        <v>1767</v>
      </c>
      <c r="K343" s="11">
        <v>0</v>
      </c>
      <c r="L343" s="4"/>
      <c r="M343" s="4"/>
      <c r="N343" s="11">
        <v>0</v>
      </c>
      <c r="O343" s="4"/>
      <c r="P343" s="4"/>
      <c r="Q343" s="11">
        <v>0</v>
      </c>
      <c r="R343" s="4"/>
      <c r="S343" s="12"/>
    </row>
    <row r="344" spans="1:19" x14ac:dyDescent="0.25">
      <c r="A344" s="9" t="s">
        <v>93</v>
      </c>
      <c r="B344" s="9" t="s">
        <v>93</v>
      </c>
      <c r="C344" s="4">
        <v>201004574</v>
      </c>
      <c r="D344" s="4"/>
      <c r="E344" s="4" t="str">
        <f>"091322010"</f>
        <v>091322010</v>
      </c>
      <c r="F344" s="10">
        <v>40368</v>
      </c>
      <c r="G344" s="11">
        <v>200</v>
      </c>
      <c r="H344" s="11">
        <v>200</v>
      </c>
      <c r="I344" s="4" t="s">
        <v>1766</v>
      </c>
      <c r="J344" s="4" t="s">
        <v>1767</v>
      </c>
      <c r="K344" s="11">
        <v>0</v>
      </c>
      <c r="L344" s="4"/>
      <c r="M344" s="4"/>
      <c r="N344" s="11">
        <v>0</v>
      </c>
      <c r="O344" s="4"/>
      <c r="P344" s="4"/>
      <c r="Q344" s="11">
        <v>0</v>
      </c>
      <c r="R344" s="4"/>
      <c r="S344" s="12"/>
    </row>
    <row r="345" spans="1:19" x14ac:dyDescent="0.25">
      <c r="A345" s="9" t="s">
        <v>93</v>
      </c>
      <c r="B345" s="9" t="s">
        <v>93</v>
      </c>
      <c r="C345" s="4">
        <v>201004579</v>
      </c>
      <c r="D345" s="4"/>
      <c r="E345" s="4" t="str">
        <f>"091242010"</f>
        <v>091242010</v>
      </c>
      <c r="F345" s="10">
        <v>40368</v>
      </c>
      <c r="G345" s="11">
        <v>134.08000000000001</v>
      </c>
      <c r="H345" s="11">
        <v>134.08000000000001</v>
      </c>
      <c r="I345" s="4" t="s">
        <v>1766</v>
      </c>
      <c r="J345" s="4" t="s">
        <v>1767</v>
      </c>
      <c r="K345" s="11">
        <v>0</v>
      </c>
      <c r="L345" s="4"/>
      <c r="M345" s="4"/>
      <c r="N345" s="11">
        <v>0</v>
      </c>
      <c r="O345" s="4"/>
      <c r="P345" s="4"/>
      <c r="Q345" s="11">
        <v>0</v>
      </c>
      <c r="R345" s="4"/>
      <c r="S345" s="12"/>
    </row>
    <row r="346" spans="1:19" x14ac:dyDescent="0.25">
      <c r="A346" s="9" t="s">
        <v>93</v>
      </c>
      <c r="B346" s="9" t="s">
        <v>93</v>
      </c>
      <c r="C346" s="4">
        <v>201004580</v>
      </c>
      <c r="D346" s="4"/>
      <c r="E346" s="4" t="str">
        <f>"091282010"</f>
        <v>091282010</v>
      </c>
      <c r="F346" s="10">
        <v>40368</v>
      </c>
      <c r="G346" s="11">
        <v>68.13</v>
      </c>
      <c r="H346" s="11">
        <v>68.13</v>
      </c>
      <c r="I346" s="4" t="s">
        <v>1766</v>
      </c>
      <c r="J346" s="4" t="s">
        <v>1767</v>
      </c>
      <c r="K346" s="11">
        <v>0</v>
      </c>
      <c r="L346" s="4"/>
      <c r="M346" s="4"/>
      <c r="N346" s="11">
        <v>0</v>
      </c>
      <c r="O346" s="4"/>
      <c r="P346" s="4"/>
      <c r="Q346" s="11">
        <v>0</v>
      </c>
      <c r="R346" s="4"/>
      <c r="S346" s="12"/>
    </row>
    <row r="347" spans="1:19" x14ac:dyDescent="0.25">
      <c r="A347" s="9" t="s">
        <v>93</v>
      </c>
      <c r="B347" s="9" t="s">
        <v>93</v>
      </c>
      <c r="C347" s="4">
        <v>201004606</v>
      </c>
      <c r="D347" s="4"/>
      <c r="E347" s="4" t="str">
        <f>"091542010"</f>
        <v>091542010</v>
      </c>
      <c r="F347" s="10">
        <v>40368</v>
      </c>
      <c r="G347" s="11">
        <v>105.1</v>
      </c>
      <c r="H347" s="11">
        <v>105.1</v>
      </c>
      <c r="I347" s="4" t="s">
        <v>1766</v>
      </c>
      <c r="J347" s="4" t="s">
        <v>1767</v>
      </c>
      <c r="K347" s="11">
        <v>0</v>
      </c>
      <c r="L347" s="4"/>
      <c r="M347" s="4"/>
      <c r="N347" s="11">
        <v>0</v>
      </c>
      <c r="O347" s="4"/>
      <c r="P347" s="4"/>
      <c r="Q347" s="11">
        <v>0</v>
      </c>
      <c r="R347" s="4"/>
      <c r="S347" s="12"/>
    </row>
    <row r="348" spans="1:19" x14ac:dyDescent="0.25">
      <c r="A348" s="9" t="s">
        <v>93</v>
      </c>
      <c r="B348" s="9" t="s">
        <v>93</v>
      </c>
      <c r="C348" s="4">
        <v>201004630</v>
      </c>
      <c r="D348" s="4"/>
      <c r="E348" s="4" t="str">
        <f>"095182010"</f>
        <v>095182010</v>
      </c>
      <c r="F348" s="10">
        <v>40382</v>
      </c>
      <c r="G348" s="11">
        <v>125.75</v>
      </c>
      <c r="H348" s="11">
        <v>125.75</v>
      </c>
      <c r="I348" s="4" t="s">
        <v>1766</v>
      </c>
      <c r="J348" s="4" t="s">
        <v>1767</v>
      </c>
      <c r="K348" s="11">
        <v>0</v>
      </c>
      <c r="L348" s="4"/>
      <c r="M348" s="4"/>
      <c r="N348" s="11">
        <v>0</v>
      </c>
      <c r="O348" s="4"/>
      <c r="P348" s="4"/>
      <c r="Q348" s="11">
        <v>0</v>
      </c>
      <c r="R348" s="4"/>
      <c r="S348" s="12"/>
    </row>
    <row r="349" spans="1:19" x14ac:dyDescent="0.25">
      <c r="A349" s="9" t="s">
        <v>93</v>
      </c>
      <c r="B349" s="9" t="s">
        <v>291</v>
      </c>
      <c r="C349" s="4">
        <v>201004632</v>
      </c>
      <c r="D349" s="4"/>
      <c r="E349" s="4" t="str">
        <f>"092422010"</f>
        <v>092422010</v>
      </c>
      <c r="F349" s="10">
        <v>40373</v>
      </c>
      <c r="G349" s="11">
        <v>30</v>
      </c>
      <c r="H349" s="11">
        <v>30</v>
      </c>
      <c r="I349" s="4" t="s">
        <v>1766</v>
      </c>
      <c r="J349" s="4" t="s">
        <v>1767</v>
      </c>
      <c r="K349" s="11">
        <v>0</v>
      </c>
      <c r="L349" s="4"/>
      <c r="M349" s="4"/>
      <c r="N349" s="11">
        <v>0</v>
      </c>
      <c r="O349" s="4"/>
      <c r="P349" s="4"/>
      <c r="Q349" s="11">
        <v>0</v>
      </c>
      <c r="R349" s="4"/>
      <c r="S349" s="12"/>
    </row>
    <row r="350" spans="1:19" x14ac:dyDescent="0.25">
      <c r="A350" s="9" t="s">
        <v>93</v>
      </c>
      <c r="B350" s="9" t="s">
        <v>291</v>
      </c>
      <c r="C350" s="4">
        <v>201004698</v>
      </c>
      <c r="D350" s="4"/>
      <c r="E350" s="4" t="str">
        <f>"094282010"</f>
        <v>094282010</v>
      </c>
      <c r="F350" s="10">
        <v>40400</v>
      </c>
      <c r="G350" s="11">
        <v>50000</v>
      </c>
      <c r="H350" s="11">
        <v>50000</v>
      </c>
      <c r="I350" s="4" t="s">
        <v>687</v>
      </c>
      <c r="J350" s="4" t="s">
        <v>688</v>
      </c>
      <c r="K350" s="11">
        <v>0</v>
      </c>
      <c r="L350" s="4"/>
      <c r="M350" s="4"/>
      <c r="N350" s="11">
        <v>0</v>
      </c>
      <c r="O350" s="4"/>
      <c r="P350" s="4"/>
      <c r="Q350" s="11">
        <v>0</v>
      </c>
      <c r="R350" s="4"/>
      <c r="S350" s="12"/>
    </row>
    <row r="351" spans="1:19" x14ac:dyDescent="0.25">
      <c r="A351" s="9" t="s">
        <v>93</v>
      </c>
      <c r="B351" s="9" t="s">
        <v>93</v>
      </c>
      <c r="C351" s="4">
        <v>201004703</v>
      </c>
      <c r="D351" s="4"/>
      <c r="E351" s="4" t="str">
        <f>"093582010"</f>
        <v>093582010</v>
      </c>
      <c r="F351" s="10">
        <v>40379</v>
      </c>
      <c r="G351" s="11">
        <v>117.6</v>
      </c>
      <c r="H351" s="11">
        <v>117.6</v>
      </c>
      <c r="I351" s="4" t="s">
        <v>1766</v>
      </c>
      <c r="J351" s="4" t="s">
        <v>1767</v>
      </c>
      <c r="K351" s="11">
        <v>0</v>
      </c>
      <c r="L351" s="4"/>
      <c r="M351" s="4"/>
      <c r="N351" s="11">
        <v>0</v>
      </c>
      <c r="O351" s="4"/>
      <c r="P351" s="4"/>
      <c r="Q351" s="11">
        <v>0</v>
      </c>
      <c r="R351" s="4"/>
      <c r="S351" s="12"/>
    </row>
    <row r="352" spans="1:19" x14ac:dyDescent="0.25">
      <c r="A352" s="9" t="s">
        <v>93</v>
      </c>
      <c r="B352" s="9" t="s">
        <v>93</v>
      </c>
      <c r="C352" s="4">
        <v>201004720</v>
      </c>
      <c r="D352" s="4"/>
      <c r="E352" s="4" t="str">
        <f>"094142010"</f>
        <v>094142010</v>
      </c>
      <c r="F352" s="10">
        <v>40379</v>
      </c>
      <c r="G352" s="11">
        <v>22.3</v>
      </c>
      <c r="H352" s="11">
        <v>22.3</v>
      </c>
      <c r="I352" s="4" t="s">
        <v>1766</v>
      </c>
      <c r="J352" s="4" t="s">
        <v>1767</v>
      </c>
      <c r="K352" s="11">
        <v>0</v>
      </c>
      <c r="L352" s="4"/>
      <c r="M352" s="4"/>
      <c r="N352" s="11">
        <v>0</v>
      </c>
      <c r="O352" s="4"/>
      <c r="P352" s="4"/>
      <c r="Q352" s="11">
        <v>0</v>
      </c>
      <c r="R352" s="4"/>
      <c r="S352" s="12"/>
    </row>
    <row r="353" spans="1:19" x14ac:dyDescent="0.25">
      <c r="A353" s="9" t="s">
        <v>93</v>
      </c>
      <c r="B353" s="9" t="s">
        <v>291</v>
      </c>
      <c r="C353" s="4">
        <v>201004744</v>
      </c>
      <c r="D353" s="4"/>
      <c r="E353" s="4" t="str">
        <f>"095282010"</f>
        <v>095282010</v>
      </c>
      <c r="F353" s="10">
        <v>40382</v>
      </c>
      <c r="G353" s="11">
        <v>58.5</v>
      </c>
      <c r="H353" s="11">
        <v>58.5</v>
      </c>
      <c r="I353" s="4" t="s">
        <v>1766</v>
      </c>
      <c r="J353" s="4" t="s">
        <v>1767</v>
      </c>
      <c r="K353" s="11">
        <v>0</v>
      </c>
      <c r="L353" s="4"/>
      <c r="M353" s="4"/>
      <c r="N353" s="11">
        <v>0</v>
      </c>
      <c r="O353" s="4"/>
      <c r="P353" s="4"/>
      <c r="Q353" s="11">
        <v>0</v>
      </c>
      <c r="R353" s="4"/>
      <c r="S353" s="12"/>
    </row>
    <row r="354" spans="1:19" x14ac:dyDescent="0.25">
      <c r="A354" s="9" t="s">
        <v>93</v>
      </c>
      <c r="B354" s="9" t="s">
        <v>93</v>
      </c>
      <c r="C354" s="4">
        <v>201004793</v>
      </c>
      <c r="D354" s="4"/>
      <c r="E354" s="4" t="str">
        <f>"095812010"</f>
        <v>095812010</v>
      </c>
      <c r="F354" s="10">
        <v>40394</v>
      </c>
      <c r="G354" s="11">
        <v>187</v>
      </c>
      <c r="H354" s="11">
        <v>187</v>
      </c>
      <c r="I354" s="4" t="s">
        <v>1766</v>
      </c>
      <c r="J354" s="4" t="s">
        <v>1767</v>
      </c>
      <c r="K354" s="11">
        <v>0</v>
      </c>
      <c r="L354" s="4"/>
      <c r="M354" s="4"/>
      <c r="N354" s="11">
        <v>0</v>
      </c>
      <c r="O354" s="4"/>
      <c r="P354" s="4"/>
      <c r="Q354" s="11">
        <v>0</v>
      </c>
      <c r="R354" s="4"/>
      <c r="S354" s="12"/>
    </row>
    <row r="355" spans="1:19" x14ac:dyDescent="0.25">
      <c r="A355" s="9" t="s">
        <v>93</v>
      </c>
      <c r="B355" s="9" t="s">
        <v>291</v>
      </c>
      <c r="C355" s="4">
        <v>201004795</v>
      </c>
      <c r="D355" s="4" t="s">
        <v>1769</v>
      </c>
      <c r="E355" s="4" t="str">
        <f>"096372010"</f>
        <v>096372010</v>
      </c>
      <c r="F355" s="10">
        <v>40387</v>
      </c>
      <c r="G355" s="11">
        <v>5000</v>
      </c>
      <c r="H355" s="11">
        <v>5000</v>
      </c>
      <c r="I355" s="4" t="s">
        <v>54</v>
      </c>
      <c r="J355" s="4" t="s">
        <v>55</v>
      </c>
      <c r="K355" s="11">
        <v>0</v>
      </c>
      <c r="L355" s="4"/>
      <c r="M355" s="4"/>
      <c r="N355" s="11">
        <v>0</v>
      </c>
      <c r="O355" s="4"/>
      <c r="P355" s="4"/>
      <c r="Q355" s="11">
        <v>0</v>
      </c>
      <c r="R355" s="4"/>
      <c r="S355" s="12"/>
    </row>
    <row r="356" spans="1:19" x14ac:dyDescent="0.25">
      <c r="A356" s="9" t="s">
        <v>93</v>
      </c>
      <c r="B356" s="9" t="s">
        <v>93</v>
      </c>
      <c r="C356" s="4">
        <v>201004808</v>
      </c>
      <c r="D356" s="4"/>
      <c r="E356" s="4" t="str">
        <f>"096392010"</f>
        <v>096392010</v>
      </c>
      <c r="F356" s="10">
        <v>40394</v>
      </c>
      <c r="G356" s="11">
        <v>83.9</v>
      </c>
      <c r="H356" s="11">
        <v>83.9</v>
      </c>
      <c r="I356" s="4" t="s">
        <v>1766</v>
      </c>
      <c r="J356" s="4" t="s">
        <v>1767</v>
      </c>
      <c r="K356" s="11">
        <v>0</v>
      </c>
      <c r="L356" s="4"/>
      <c r="M356" s="4"/>
      <c r="N356" s="11">
        <v>0</v>
      </c>
      <c r="O356" s="4"/>
      <c r="P356" s="4"/>
      <c r="Q356" s="11">
        <v>0</v>
      </c>
      <c r="R356" s="4"/>
      <c r="S356" s="12"/>
    </row>
    <row r="357" spans="1:19" x14ac:dyDescent="0.25">
      <c r="A357" s="9" t="s">
        <v>93</v>
      </c>
      <c r="B357" s="9" t="s">
        <v>93</v>
      </c>
      <c r="C357" s="4">
        <v>201004849</v>
      </c>
      <c r="D357" s="4"/>
      <c r="E357" s="4" t="str">
        <f>"096972010"</f>
        <v>096972010</v>
      </c>
      <c r="F357" s="10">
        <v>40394</v>
      </c>
      <c r="G357" s="11">
        <v>25.48</v>
      </c>
      <c r="H357" s="11">
        <v>25.48</v>
      </c>
      <c r="I357" s="4" t="s">
        <v>1766</v>
      </c>
      <c r="J357" s="4" t="s">
        <v>1767</v>
      </c>
      <c r="K357" s="11">
        <v>0</v>
      </c>
      <c r="L357" s="4"/>
      <c r="M357" s="4"/>
      <c r="N357" s="11">
        <v>0</v>
      </c>
      <c r="O357" s="4"/>
      <c r="P357" s="4"/>
      <c r="Q357" s="11">
        <v>0</v>
      </c>
      <c r="R357" s="4"/>
      <c r="S357" s="12"/>
    </row>
    <row r="358" spans="1:19" x14ac:dyDescent="0.25">
      <c r="A358" s="9" t="s">
        <v>93</v>
      </c>
      <c r="B358" s="9" t="s">
        <v>93</v>
      </c>
      <c r="C358" s="4">
        <v>201004859</v>
      </c>
      <c r="D358" s="4"/>
      <c r="E358" s="4" t="str">
        <f>"096892010"</f>
        <v>096892010</v>
      </c>
      <c r="F358" s="10">
        <v>40394</v>
      </c>
      <c r="G358" s="11">
        <v>75</v>
      </c>
      <c r="H358" s="11">
        <v>75</v>
      </c>
      <c r="I358" s="4" t="s">
        <v>1766</v>
      </c>
      <c r="J358" s="4" t="s">
        <v>1767</v>
      </c>
      <c r="K358" s="11">
        <v>0</v>
      </c>
      <c r="L358" s="4"/>
      <c r="M358" s="4"/>
      <c r="N358" s="11">
        <v>0</v>
      </c>
      <c r="O358" s="4"/>
      <c r="P358" s="4"/>
      <c r="Q358" s="11">
        <v>0</v>
      </c>
      <c r="R358" s="4"/>
      <c r="S358" s="12"/>
    </row>
    <row r="359" spans="1:19" x14ac:dyDescent="0.25">
      <c r="A359" s="9" t="s">
        <v>93</v>
      </c>
      <c r="B359" s="9" t="s">
        <v>93</v>
      </c>
      <c r="C359" s="4">
        <v>201004945</v>
      </c>
      <c r="D359" s="4"/>
      <c r="E359" s="4" t="str">
        <f>"098342010"</f>
        <v>098342010</v>
      </c>
      <c r="F359" s="10">
        <v>40394</v>
      </c>
      <c r="G359" s="11">
        <v>218.85</v>
      </c>
      <c r="H359" s="11">
        <v>218.85</v>
      </c>
      <c r="I359" s="4" t="s">
        <v>1766</v>
      </c>
      <c r="J359" s="4" t="s">
        <v>1767</v>
      </c>
      <c r="K359" s="11">
        <v>0</v>
      </c>
      <c r="L359" s="4"/>
      <c r="M359" s="4"/>
      <c r="N359" s="11">
        <v>0</v>
      </c>
      <c r="O359" s="4"/>
      <c r="P359" s="4"/>
      <c r="Q359" s="11">
        <v>0</v>
      </c>
      <c r="R359" s="4"/>
      <c r="S359" s="12"/>
    </row>
    <row r="360" spans="1:19" x14ac:dyDescent="0.25">
      <c r="A360" s="9" t="s">
        <v>93</v>
      </c>
      <c r="B360" s="9" t="s">
        <v>291</v>
      </c>
      <c r="C360" s="4">
        <v>201005015</v>
      </c>
      <c r="D360" s="4" t="s">
        <v>1770</v>
      </c>
      <c r="E360" s="4" t="str">
        <f>"101392010"</f>
        <v>101392010</v>
      </c>
      <c r="F360" s="10">
        <v>40408</v>
      </c>
      <c r="G360" s="11">
        <v>7840.75</v>
      </c>
      <c r="H360" s="11">
        <v>0</v>
      </c>
      <c r="I360" s="4"/>
      <c r="J360" s="4"/>
      <c r="K360" s="11">
        <v>0</v>
      </c>
      <c r="L360" s="4"/>
      <c r="M360" s="4"/>
      <c r="N360" s="11">
        <v>7840.75</v>
      </c>
      <c r="O360" s="4" t="s">
        <v>56</v>
      </c>
      <c r="P360" s="4" t="s">
        <v>57</v>
      </c>
      <c r="Q360" s="11">
        <v>0</v>
      </c>
      <c r="R360" s="4"/>
      <c r="S360" s="12"/>
    </row>
    <row r="361" spans="1:19" x14ac:dyDescent="0.25">
      <c r="A361" s="9" t="s">
        <v>93</v>
      </c>
      <c r="B361" s="9" t="s">
        <v>291</v>
      </c>
      <c r="C361" s="4">
        <v>201005016</v>
      </c>
      <c r="D361" s="4"/>
      <c r="E361" s="4" t="str">
        <f>"100872010"</f>
        <v>100872010</v>
      </c>
      <c r="F361" s="10">
        <v>40406</v>
      </c>
      <c r="G361" s="11">
        <v>47.87</v>
      </c>
      <c r="H361" s="11">
        <v>47.87</v>
      </c>
      <c r="I361" s="4" t="s">
        <v>1766</v>
      </c>
      <c r="J361" s="4" t="s">
        <v>1767</v>
      </c>
      <c r="K361" s="11">
        <v>0</v>
      </c>
      <c r="L361" s="4"/>
      <c r="M361" s="4"/>
      <c r="N361" s="11">
        <v>0</v>
      </c>
      <c r="O361" s="4"/>
      <c r="P361" s="4"/>
      <c r="Q361" s="11">
        <v>0</v>
      </c>
      <c r="R361" s="4"/>
      <c r="S361" s="12"/>
    </row>
    <row r="362" spans="1:19" x14ac:dyDescent="0.25">
      <c r="A362" s="9" t="s">
        <v>93</v>
      </c>
      <c r="B362" s="9" t="s">
        <v>93</v>
      </c>
      <c r="C362" s="4">
        <v>201005063</v>
      </c>
      <c r="D362" s="4"/>
      <c r="E362" s="4" t="str">
        <f>"101292010"</f>
        <v>101292010</v>
      </c>
      <c r="F362" s="10">
        <v>40409</v>
      </c>
      <c r="G362" s="11">
        <v>143.47</v>
      </c>
      <c r="H362" s="11">
        <v>143.47</v>
      </c>
      <c r="I362" s="4" t="s">
        <v>1766</v>
      </c>
      <c r="J362" s="4" t="s">
        <v>1767</v>
      </c>
      <c r="K362" s="11">
        <v>0</v>
      </c>
      <c r="L362" s="4"/>
      <c r="M362" s="4"/>
      <c r="N362" s="11">
        <v>0</v>
      </c>
      <c r="O362" s="4"/>
      <c r="P362" s="4"/>
      <c r="Q362" s="11">
        <v>0</v>
      </c>
      <c r="R362" s="4"/>
      <c r="S362" s="12"/>
    </row>
    <row r="363" spans="1:19" x14ac:dyDescent="0.25">
      <c r="A363" s="9" t="s">
        <v>93</v>
      </c>
      <c r="B363" s="9" t="s">
        <v>93</v>
      </c>
      <c r="C363" s="4">
        <v>201005064</v>
      </c>
      <c r="D363" s="4"/>
      <c r="E363" s="4" t="str">
        <f>"100252010"</f>
        <v>100252010</v>
      </c>
      <c r="F363" s="10">
        <v>40403</v>
      </c>
      <c r="G363" s="11">
        <v>47.73</v>
      </c>
      <c r="H363" s="11">
        <v>47.73</v>
      </c>
      <c r="I363" s="4" t="s">
        <v>1766</v>
      </c>
      <c r="J363" s="4" t="s">
        <v>1767</v>
      </c>
      <c r="K363" s="11">
        <v>0</v>
      </c>
      <c r="L363" s="4"/>
      <c r="M363" s="4"/>
      <c r="N363" s="11">
        <v>0</v>
      </c>
      <c r="O363" s="4"/>
      <c r="P363" s="4"/>
      <c r="Q363" s="11">
        <v>0</v>
      </c>
      <c r="R363" s="4"/>
      <c r="S363" s="12"/>
    </row>
    <row r="364" spans="1:19" x14ac:dyDescent="0.25">
      <c r="A364" s="9" t="s">
        <v>93</v>
      </c>
      <c r="B364" s="9" t="s">
        <v>291</v>
      </c>
      <c r="C364" s="4">
        <v>201005122</v>
      </c>
      <c r="D364" s="4"/>
      <c r="E364" s="4" t="str">
        <f>"102272010"</f>
        <v>102272010</v>
      </c>
      <c r="F364" s="10">
        <v>40409</v>
      </c>
      <c r="G364" s="11">
        <v>50</v>
      </c>
      <c r="H364" s="11">
        <v>50</v>
      </c>
      <c r="I364" s="4" t="s">
        <v>1766</v>
      </c>
      <c r="J364" s="4" t="s">
        <v>1767</v>
      </c>
      <c r="K364" s="11">
        <v>0</v>
      </c>
      <c r="L364" s="4"/>
      <c r="M364" s="4"/>
      <c r="N364" s="11">
        <v>0</v>
      </c>
      <c r="O364" s="4"/>
      <c r="P364" s="4"/>
      <c r="Q364" s="11">
        <v>0</v>
      </c>
      <c r="R364" s="4"/>
      <c r="S364" s="12"/>
    </row>
    <row r="365" spans="1:19" x14ac:dyDescent="0.25">
      <c r="A365" s="9" t="s">
        <v>93</v>
      </c>
      <c r="B365" s="9" t="s">
        <v>291</v>
      </c>
      <c r="C365" s="4">
        <v>201005170</v>
      </c>
      <c r="D365" s="4"/>
      <c r="E365" s="4" t="str">
        <f>"103432010"</f>
        <v>103432010</v>
      </c>
      <c r="F365" s="10">
        <v>40409</v>
      </c>
      <c r="G365" s="11">
        <v>240.3</v>
      </c>
      <c r="H365" s="11">
        <v>240.3</v>
      </c>
      <c r="I365" s="4" t="s">
        <v>1766</v>
      </c>
      <c r="J365" s="4" t="s">
        <v>1767</v>
      </c>
      <c r="K365" s="11">
        <v>0</v>
      </c>
      <c r="L365" s="4"/>
      <c r="M365" s="4"/>
      <c r="N365" s="11">
        <v>0</v>
      </c>
      <c r="O365" s="4"/>
      <c r="P365" s="4"/>
      <c r="Q365" s="11">
        <v>0</v>
      </c>
      <c r="R365" s="4"/>
      <c r="S365" s="12"/>
    </row>
    <row r="366" spans="1:19" x14ac:dyDescent="0.25">
      <c r="A366" s="9" t="s">
        <v>93</v>
      </c>
      <c r="B366" s="9" t="s">
        <v>93</v>
      </c>
      <c r="C366" s="4">
        <v>201005200</v>
      </c>
      <c r="D366" s="4"/>
      <c r="E366" s="4" t="str">
        <f>"103592010"</f>
        <v>103592010</v>
      </c>
      <c r="F366" s="10">
        <v>40410</v>
      </c>
      <c r="G366" s="11">
        <v>32.75</v>
      </c>
      <c r="H366" s="11">
        <v>32.75</v>
      </c>
      <c r="I366" s="4" t="s">
        <v>1766</v>
      </c>
      <c r="J366" s="4" t="s">
        <v>1767</v>
      </c>
      <c r="K366" s="11">
        <v>0</v>
      </c>
      <c r="L366" s="4"/>
      <c r="M366" s="4"/>
      <c r="N366" s="11">
        <v>0</v>
      </c>
      <c r="O366" s="4"/>
      <c r="P366" s="4"/>
      <c r="Q366" s="11">
        <v>0</v>
      </c>
      <c r="R366" s="4"/>
      <c r="S366" s="12"/>
    </row>
    <row r="367" spans="1:19" x14ac:dyDescent="0.25">
      <c r="A367" s="9" t="s">
        <v>93</v>
      </c>
      <c r="B367" s="9" t="s">
        <v>93</v>
      </c>
      <c r="C367" s="4">
        <v>201005208</v>
      </c>
      <c r="D367" s="4"/>
      <c r="E367" s="4" t="str">
        <f>"103812010"</f>
        <v>103812010</v>
      </c>
      <c r="F367" s="10">
        <v>40410</v>
      </c>
      <c r="G367" s="11">
        <v>89.95</v>
      </c>
      <c r="H367" s="11">
        <v>89.95</v>
      </c>
      <c r="I367" s="4" t="s">
        <v>1766</v>
      </c>
      <c r="J367" s="4" t="s">
        <v>1767</v>
      </c>
      <c r="K367" s="11">
        <v>0</v>
      </c>
      <c r="L367" s="4"/>
      <c r="M367" s="4"/>
      <c r="N367" s="11">
        <v>0</v>
      </c>
      <c r="O367" s="4"/>
      <c r="P367" s="4"/>
      <c r="Q367" s="11">
        <v>0</v>
      </c>
      <c r="R367" s="4"/>
      <c r="S367" s="12"/>
    </row>
    <row r="368" spans="1:19" x14ac:dyDescent="0.25">
      <c r="A368" s="9" t="s">
        <v>93</v>
      </c>
      <c r="B368" s="9" t="s">
        <v>93</v>
      </c>
      <c r="C368" s="4">
        <v>201005211</v>
      </c>
      <c r="D368" s="4"/>
      <c r="E368" s="4" t="str">
        <f>"103752010"</f>
        <v>103752010</v>
      </c>
      <c r="F368" s="10">
        <v>40410</v>
      </c>
      <c r="G368" s="11">
        <v>45.61</v>
      </c>
      <c r="H368" s="11">
        <v>45.61</v>
      </c>
      <c r="I368" s="4" t="s">
        <v>1766</v>
      </c>
      <c r="J368" s="4" t="s">
        <v>1767</v>
      </c>
      <c r="K368" s="11">
        <v>0</v>
      </c>
      <c r="L368" s="4"/>
      <c r="M368" s="4"/>
      <c r="N368" s="11">
        <v>0</v>
      </c>
      <c r="O368" s="4"/>
      <c r="P368" s="4"/>
      <c r="Q368" s="11">
        <v>0</v>
      </c>
      <c r="R368" s="4"/>
      <c r="S368" s="12"/>
    </row>
    <row r="369" spans="1:19" x14ac:dyDescent="0.25">
      <c r="A369" s="9" t="s">
        <v>93</v>
      </c>
      <c r="B369" s="9" t="s">
        <v>93</v>
      </c>
      <c r="C369" s="4">
        <v>201005254</v>
      </c>
      <c r="D369" s="4"/>
      <c r="E369" s="4" t="str">
        <f>"104872010"</f>
        <v>104872010</v>
      </c>
      <c r="F369" s="10">
        <v>40445</v>
      </c>
      <c r="G369" s="11">
        <v>10</v>
      </c>
      <c r="H369" s="11">
        <v>10</v>
      </c>
      <c r="I369" s="4" t="s">
        <v>1766</v>
      </c>
      <c r="J369" s="4" t="s">
        <v>1767</v>
      </c>
      <c r="K369" s="11">
        <v>0</v>
      </c>
      <c r="L369" s="4"/>
      <c r="M369" s="4"/>
      <c r="N369" s="11">
        <v>0</v>
      </c>
      <c r="O369" s="4"/>
      <c r="P369" s="4"/>
      <c r="Q369" s="11">
        <v>0</v>
      </c>
      <c r="R369" s="4"/>
      <c r="S369" s="12"/>
    </row>
    <row r="370" spans="1:19" x14ac:dyDescent="0.25">
      <c r="A370" s="9" t="s">
        <v>93</v>
      </c>
      <c r="B370" s="9" t="s">
        <v>93</v>
      </c>
      <c r="C370" s="4">
        <v>201005268</v>
      </c>
      <c r="D370" s="4"/>
      <c r="E370" s="4" t="str">
        <f>"105172010"</f>
        <v>105172010</v>
      </c>
      <c r="F370" s="10">
        <v>40445</v>
      </c>
      <c r="G370" s="11">
        <v>18.89</v>
      </c>
      <c r="H370" s="11">
        <v>18.89</v>
      </c>
      <c r="I370" s="4" t="s">
        <v>1766</v>
      </c>
      <c r="J370" s="4" t="s">
        <v>1767</v>
      </c>
      <c r="K370" s="11">
        <v>0</v>
      </c>
      <c r="L370" s="4"/>
      <c r="M370" s="4"/>
      <c r="N370" s="11">
        <v>0</v>
      </c>
      <c r="O370" s="4"/>
      <c r="P370" s="4"/>
      <c r="Q370" s="11">
        <v>0</v>
      </c>
      <c r="R370" s="4"/>
      <c r="S370" s="12"/>
    </row>
    <row r="371" spans="1:19" x14ac:dyDescent="0.25">
      <c r="A371" s="9" t="s">
        <v>93</v>
      </c>
      <c r="B371" s="9" t="s">
        <v>93</v>
      </c>
      <c r="C371" s="4">
        <v>201005269</v>
      </c>
      <c r="D371" s="4"/>
      <c r="E371" s="4" t="str">
        <f>"112322010"</f>
        <v>112322010</v>
      </c>
      <c r="F371" s="10">
        <v>40444</v>
      </c>
      <c r="G371" s="11">
        <v>12.6</v>
      </c>
      <c r="H371" s="11">
        <v>12.6</v>
      </c>
      <c r="I371" s="4" t="s">
        <v>1766</v>
      </c>
      <c r="J371" s="4" t="s">
        <v>1767</v>
      </c>
      <c r="K371" s="11">
        <v>0</v>
      </c>
      <c r="L371" s="4"/>
      <c r="M371" s="4"/>
      <c r="N371" s="11">
        <v>0</v>
      </c>
      <c r="O371" s="4"/>
      <c r="P371" s="4"/>
      <c r="Q371" s="11">
        <v>0</v>
      </c>
      <c r="R371" s="4"/>
      <c r="S371" s="12"/>
    </row>
    <row r="372" spans="1:19" x14ac:dyDescent="0.25">
      <c r="A372" s="9" t="s">
        <v>93</v>
      </c>
      <c r="B372" s="9" t="s">
        <v>93</v>
      </c>
      <c r="C372" s="4">
        <v>201005282</v>
      </c>
      <c r="D372" s="4"/>
      <c r="E372" s="4" t="str">
        <f>"112922010"</f>
        <v>112922010</v>
      </c>
      <c r="F372" s="10">
        <v>40445</v>
      </c>
      <c r="G372" s="11">
        <v>77.430000000000007</v>
      </c>
      <c r="H372" s="11">
        <v>77.430000000000007</v>
      </c>
      <c r="I372" s="4" t="s">
        <v>1766</v>
      </c>
      <c r="J372" s="4" t="s">
        <v>1767</v>
      </c>
      <c r="K372" s="11">
        <v>0</v>
      </c>
      <c r="L372" s="4"/>
      <c r="M372" s="4"/>
      <c r="N372" s="11">
        <v>0</v>
      </c>
      <c r="O372" s="4"/>
      <c r="P372" s="4"/>
      <c r="Q372" s="11">
        <v>0</v>
      </c>
      <c r="R372" s="4"/>
      <c r="S372" s="12"/>
    </row>
    <row r="373" spans="1:19" x14ac:dyDescent="0.25">
      <c r="A373" s="9" t="s">
        <v>93</v>
      </c>
      <c r="B373" s="9" t="s">
        <v>93</v>
      </c>
      <c r="C373" s="4">
        <v>201005299</v>
      </c>
      <c r="D373" s="4"/>
      <c r="E373" s="4" t="str">
        <f>"110732010"</f>
        <v>110732010</v>
      </c>
      <c r="F373" s="10">
        <v>40436</v>
      </c>
      <c r="G373" s="11">
        <v>268.45</v>
      </c>
      <c r="H373" s="11">
        <v>268.45</v>
      </c>
      <c r="I373" s="4" t="s">
        <v>1766</v>
      </c>
      <c r="J373" s="4" t="s">
        <v>1767</v>
      </c>
      <c r="K373" s="11">
        <v>0</v>
      </c>
      <c r="L373" s="4"/>
      <c r="M373" s="4"/>
      <c r="N373" s="11">
        <v>0</v>
      </c>
      <c r="O373" s="4"/>
      <c r="P373" s="4"/>
      <c r="Q373" s="11">
        <v>0</v>
      </c>
      <c r="R373" s="4"/>
      <c r="S373" s="12"/>
    </row>
    <row r="374" spans="1:19" x14ac:dyDescent="0.25">
      <c r="A374" s="9" t="s">
        <v>93</v>
      </c>
      <c r="B374" s="9" t="s">
        <v>93</v>
      </c>
      <c r="C374" s="4">
        <v>201005300</v>
      </c>
      <c r="D374" s="4"/>
      <c r="E374" s="4" t="str">
        <f>"105212010"</f>
        <v>105212010</v>
      </c>
      <c r="F374" s="10">
        <v>40445</v>
      </c>
      <c r="G374" s="11">
        <v>24.75</v>
      </c>
      <c r="H374" s="11">
        <v>24.75</v>
      </c>
      <c r="I374" s="4" t="s">
        <v>1766</v>
      </c>
      <c r="J374" s="4" t="s">
        <v>1767</v>
      </c>
      <c r="K374" s="11">
        <v>0</v>
      </c>
      <c r="L374" s="4"/>
      <c r="M374" s="4"/>
      <c r="N374" s="11">
        <v>0</v>
      </c>
      <c r="O374" s="4"/>
      <c r="P374" s="4"/>
      <c r="Q374" s="11">
        <v>0</v>
      </c>
      <c r="R374" s="4"/>
      <c r="S374" s="12"/>
    </row>
    <row r="375" spans="1:19" x14ac:dyDescent="0.25">
      <c r="A375" s="9" t="s">
        <v>93</v>
      </c>
      <c r="B375" s="9" t="s">
        <v>93</v>
      </c>
      <c r="C375" s="4">
        <v>201005479</v>
      </c>
      <c r="D375" s="4"/>
      <c r="E375" s="4" t="str">
        <f>"108592010"</f>
        <v>108592010</v>
      </c>
      <c r="F375" s="10">
        <v>40429</v>
      </c>
      <c r="G375" s="11">
        <v>25</v>
      </c>
      <c r="H375" s="11">
        <v>25</v>
      </c>
      <c r="I375" s="4" t="s">
        <v>1766</v>
      </c>
      <c r="J375" s="4" t="s">
        <v>1767</v>
      </c>
      <c r="K375" s="11">
        <v>0</v>
      </c>
      <c r="L375" s="4"/>
      <c r="M375" s="4"/>
      <c r="N375" s="11">
        <v>0</v>
      </c>
      <c r="O375" s="4"/>
      <c r="P375" s="4"/>
      <c r="Q375" s="11">
        <v>0</v>
      </c>
      <c r="R375" s="4"/>
      <c r="S375" s="12"/>
    </row>
    <row r="376" spans="1:19" x14ac:dyDescent="0.25">
      <c r="A376" s="9" t="s">
        <v>93</v>
      </c>
      <c r="B376" s="9" t="s">
        <v>93</v>
      </c>
      <c r="C376" s="4">
        <v>201005485</v>
      </c>
      <c r="D376" s="4"/>
      <c r="E376" s="4" t="str">
        <f>"108692010"</f>
        <v>108692010</v>
      </c>
      <c r="F376" s="10">
        <v>40429</v>
      </c>
      <c r="G376" s="11">
        <v>50</v>
      </c>
      <c r="H376" s="11">
        <v>50</v>
      </c>
      <c r="I376" s="4" t="s">
        <v>1766</v>
      </c>
      <c r="J376" s="4" t="s">
        <v>1767</v>
      </c>
      <c r="K376" s="11">
        <v>0</v>
      </c>
      <c r="L376" s="4"/>
      <c r="M376" s="4"/>
      <c r="N376" s="11">
        <v>0</v>
      </c>
      <c r="O376" s="4"/>
      <c r="P376" s="4"/>
      <c r="Q376" s="11">
        <v>0</v>
      </c>
      <c r="R376" s="4"/>
      <c r="S376" s="12"/>
    </row>
    <row r="377" spans="1:19" x14ac:dyDescent="0.25">
      <c r="A377" s="9" t="s">
        <v>93</v>
      </c>
      <c r="B377" s="9" t="s">
        <v>93</v>
      </c>
      <c r="C377" s="4">
        <v>201005486</v>
      </c>
      <c r="D377" s="4"/>
      <c r="E377" s="4" t="str">
        <f>"108932010"</f>
        <v>108932010</v>
      </c>
      <c r="F377" s="10">
        <v>40429</v>
      </c>
      <c r="G377" s="11">
        <v>22.1</v>
      </c>
      <c r="H377" s="11">
        <v>22.1</v>
      </c>
      <c r="I377" s="4" t="s">
        <v>1766</v>
      </c>
      <c r="J377" s="4" t="s">
        <v>1767</v>
      </c>
      <c r="K377" s="11">
        <v>0</v>
      </c>
      <c r="L377" s="4"/>
      <c r="M377" s="4"/>
      <c r="N377" s="11">
        <v>0</v>
      </c>
      <c r="O377" s="4"/>
      <c r="P377" s="4"/>
      <c r="Q377" s="11">
        <v>0</v>
      </c>
      <c r="R377" s="4"/>
      <c r="S377" s="12"/>
    </row>
    <row r="378" spans="1:19" x14ac:dyDescent="0.25">
      <c r="A378" s="9" t="s">
        <v>93</v>
      </c>
      <c r="B378" s="9" t="s">
        <v>93</v>
      </c>
      <c r="C378" s="4">
        <v>201005503</v>
      </c>
      <c r="D378" s="4" t="s">
        <v>1771</v>
      </c>
      <c r="E378" s="4" t="str">
        <f>"111132010"</f>
        <v>111132010</v>
      </c>
      <c r="F378" s="10">
        <v>40436</v>
      </c>
      <c r="G378" s="11">
        <v>14101.6</v>
      </c>
      <c r="H378" s="11">
        <v>14101.6</v>
      </c>
      <c r="I378" s="4" t="s">
        <v>54</v>
      </c>
      <c r="J378" s="4" t="s">
        <v>55</v>
      </c>
      <c r="K378" s="11">
        <v>0</v>
      </c>
      <c r="L378" s="4"/>
      <c r="M378" s="4"/>
      <c r="N378" s="11">
        <v>0</v>
      </c>
      <c r="O378" s="4"/>
      <c r="P378" s="4"/>
      <c r="Q378" s="11">
        <v>0</v>
      </c>
      <c r="R378" s="4"/>
      <c r="S378" s="12"/>
    </row>
    <row r="379" spans="1:19" x14ac:dyDescent="0.25">
      <c r="A379" s="9" t="s">
        <v>93</v>
      </c>
      <c r="B379" s="9" t="s">
        <v>93</v>
      </c>
      <c r="C379" s="4">
        <v>201005503</v>
      </c>
      <c r="D379" s="4" t="s">
        <v>1771</v>
      </c>
      <c r="E379" s="4" t="str">
        <f>"111152010"</f>
        <v>111152010</v>
      </c>
      <c r="F379" s="10">
        <v>40436</v>
      </c>
      <c r="G379" s="11">
        <v>898.4</v>
      </c>
      <c r="H379" s="11">
        <v>898.4</v>
      </c>
      <c r="I379" s="4" t="s">
        <v>54</v>
      </c>
      <c r="J379" s="4" t="s">
        <v>55</v>
      </c>
      <c r="K379" s="11">
        <v>0</v>
      </c>
      <c r="L379" s="4"/>
      <c r="M379" s="4"/>
      <c r="N379" s="11">
        <v>0</v>
      </c>
      <c r="O379" s="4"/>
      <c r="P379" s="4"/>
      <c r="Q379" s="11">
        <v>0</v>
      </c>
      <c r="R379" s="4"/>
      <c r="S379" s="12"/>
    </row>
    <row r="380" spans="1:19" x14ac:dyDescent="0.25">
      <c r="A380" s="9" t="s">
        <v>93</v>
      </c>
      <c r="B380" s="9" t="s">
        <v>93</v>
      </c>
      <c r="C380" s="4">
        <v>201005519</v>
      </c>
      <c r="D380" s="4"/>
      <c r="E380" s="4" t="str">
        <f>"110212010"</f>
        <v>110212010</v>
      </c>
      <c r="F380" s="10">
        <v>40431</v>
      </c>
      <c r="G380" s="11">
        <v>3000</v>
      </c>
      <c r="H380" s="11">
        <v>3000</v>
      </c>
      <c r="I380" s="4" t="s">
        <v>54</v>
      </c>
      <c r="J380" s="4" t="s">
        <v>55</v>
      </c>
      <c r="K380" s="11">
        <v>0</v>
      </c>
      <c r="L380" s="4"/>
      <c r="M380" s="4"/>
      <c r="N380" s="11">
        <v>0</v>
      </c>
      <c r="O380" s="4"/>
      <c r="P380" s="4"/>
      <c r="Q380" s="11">
        <v>0</v>
      </c>
      <c r="R380" s="4"/>
      <c r="S380" s="12"/>
    </row>
    <row r="381" spans="1:19" x14ac:dyDescent="0.25">
      <c r="A381" s="9" t="s">
        <v>93</v>
      </c>
      <c r="B381" s="9" t="s">
        <v>93</v>
      </c>
      <c r="C381" s="4">
        <v>201005524</v>
      </c>
      <c r="D381" s="4"/>
      <c r="E381" s="4" t="str">
        <f>"109712010"</f>
        <v>109712010</v>
      </c>
      <c r="F381" s="10">
        <v>40431</v>
      </c>
      <c r="G381" s="11">
        <v>40.299999999999997</v>
      </c>
      <c r="H381" s="11">
        <v>40.299999999999997</v>
      </c>
      <c r="I381" s="4" t="s">
        <v>1766</v>
      </c>
      <c r="J381" s="4" t="s">
        <v>1767</v>
      </c>
      <c r="K381" s="11">
        <v>0</v>
      </c>
      <c r="L381" s="4"/>
      <c r="M381" s="4"/>
      <c r="N381" s="11">
        <v>0</v>
      </c>
      <c r="O381" s="4"/>
      <c r="P381" s="4"/>
      <c r="Q381" s="11">
        <v>0</v>
      </c>
      <c r="R381" s="4"/>
      <c r="S381" s="12"/>
    </row>
    <row r="382" spans="1:19" x14ac:dyDescent="0.25">
      <c r="A382" s="9" t="s">
        <v>93</v>
      </c>
      <c r="B382" s="9" t="s">
        <v>93</v>
      </c>
      <c r="C382" s="4">
        <v>201005540</v>
      </c>
      <c r="D382" s="4"/>
      <c r="E382" s="4" t="str">
        <f>"110252010"</f>
        <v>110252010</v>
      </c>
      <c r="F382" s="10">
        <v>40431</v>
      </c>
      <c r="G382" s="11">
        <v>20</v>
      </c>
      <c r="H382" s="11">
        <v>20</v>
      </c>
      <c r="I382" s="4" t="s">
        <v>1766</v>
      </c>
      <c r="J382" s="4" t="s">
        <v>1767</v>
      </c>
      <c r="K382" s="11">
        <v>0</v>
      </c>
      <c r="L382" s="4"/>
      <c r="M382" s="4"/>
      <c r="N382" s="11">
        <v>0</v>
      </c>
      <c r="O382" s="4"/>
      <c r="P382" s="4"/>
      <c r="Q382" s="11">
        <v>0</v>
      </c>
      <c r="R382" s="4"/>
      <c r="S382" s="12"/>
    </row>
    <row r="383" spans="1:19" x14ac:dyDescent="0.25">
      <c r="A383" s="9" t="s">
        <v>93</v>
      </c>
      <c r="B383" s="9" t="s">
        <v>93</v>
      </c>
      <c r="C383" s="4">
        <v>201005548</v>
      </c>
      <c r="D383" s="4"/>
      <c r="E383" s="4" t="str">
        <f>"111272010"</f>
        <v>111272010</v>
      </c>
      <c r="F383" s="10">
        <v>40437</v>
      </c>
      <c r="G383" s="11">
        <v>40</v>
      </c>
      <c r="H383" s="11">
        <v>40</v>
      </c>
      <c r="I383" s="4" t="s">
        <v>1766</v>
      </c>
      <c r="J383" s="4" t="s">
        <v>1767</v>
      </c>
      <c r="K383" s="11">
        <v>0</v>
      </c>
      <c r="L383" s="4"/>
      <c r="M383" s="4"/>
      <c r="N383" s="11">
        <v>0</v>
      </c>
      <c r="O383" s="4"/>
      <c r="P383" s="4"/>
      <c r="Q383" s="11">
        <v>0</v>
      </c>
      <c r="R383" s="4"/>
      <c r="S383" s="12"/>
    </row>
    <row r="384" spans="1:19" x14ac:dyDescent="0.25">
      <c r="A384" s="9" t="s">
        <v>93</v>
      </c>
      <c r="B384" s="9" t="s">
        <v>93</v>
      </c>
      <c r="C384" s="4">
        <v>201005561</v>
      </c>
      <c r="D384" s="4"/>
      <c r="E384" s="4" t="str">
        <f>"110572010"</f>
        <v>110572010</v>
      </c>
      <c r="F384" s="10">
        <v>40434</v>
      </c>
      <c r="G384" s="11">
        <v>21.98</v>
      </c>
      <c r="H384" s="11">
        <v>21.98</v>
      </c>
      <c r="I384" s="4" t="s">
        <v>1766</v>
      </c>
      <c r="J384" s="4" t="s">
        <v>1767</v>
      </c>
      <c r="K384" s="11">
        <v>0</v>
      </c>
      <c r="L384" s="4"/>
      <c r="M384" s="4"/>
      <c r="N384" s="11">
        <v>0</v>
      </c>
      <c r="O384" s="4"/>
      <c r="P384" s="4"/>
      <c r="Q384" s="11">
        <v>0</v>
      </c>
      <c r="R384" s="4"/>
      <c r="S384" s="12"/>
    </row>
    <row r="385" spans="1:19" x14ac:dyDescent="0.25">
      <c r="A385" s="9" t="s">
        <v>93</v>
      </c>
      <c r="B385" s="9" t="s">
        <v>93</v>
      </c>
      <c r="C385" s="4">
        <v>201005562</v>
      </c>
      <c r="D385" s="4"/>
      <c r="E385" s="4" t="str">
        <f>"110552010"</f>
        <v>110552010</v>
      </c>
      <c r="F385" s="10">
        <v>40434</v>
      </c>
      <c r="G385" s="11">
        <v>39.96</v>
      </c>
      <c r="H385" s="11">
        <v>39.96</v>
      </c>
      <c r="I385" s="4" t="s">
        <v>1766</v>
      </c>
      <c r="J385" s="4" t="s">
        <v>1767</v>
      </c>
      <c r="K385" s="11">
        <v>0</v>
      </c>
      <c r="L385" s="4"/>
      <c r="M385" s="4"/>
      <c r="N385" s="11">
        <v>0</v>
      </c>
      <c r="O385" s="4"/>
      <c r="P385" s="4"/>
      <c r="Q385" s="11">
        <v>0</v>
      </c>
      <c r="R385" s="4"/>
      <c r="S385" s="12"/>
    </row>
    <row r="386" spans="1:19" x14ac:dyDescent="0.25">
      <c r="A386" s="9" t="s">
        <v>93</v>
      </c>
      <c r="B386" s="9" t="s">
        <v>93</v>
      </c>
      <c r="C386" s="4">
        <v>201005564</v>
      </c>
      <c r="D386" s="4"/>
      <c r="E386" s="4" t="str">
        <f>"110532010"</f>
        <v>110532010</v>
      </c>
      <c r="F386" s="10">
        <v>40434</v>
      </c>
      <c r="G386" s="11">
        <v>31.1</v>
      </c>
      <c r="H386" s="11">
        <v>31.1</v>
      </c>
      <c r="I386" s="4" t="s">
        <v>1766</v>
      </c>
      <c r="J386" s="4" t="s">
        <v>1767</v>
      </c>
      <c r="K386" s="11">
        <v>0</v>
      </c>
      <c r="L386" s="4"/>
      <c r="M386" s="4"/>
      <c r="N386" s="11">
        <v>0</v>
      </c>
      <c r="O386" s="4"/>
      <c r="P386" s="4"/>
      <c r="Q386" s="11">
        <v>0</v>
      </c>
      <c r="R386" s="4"/>
      <c r="S386" s="12"/>
    </row>
    <row r="387" spans="1:19" x14ac:dyDescent="0.25">
      <c r="A387" s="9" t="s">
        <v>93</v>
      </c>
      <c r="B387" s="9" t="s">
        <v>93</v>
      </c>
      <c r="C387" s="4">
        <v>201005565</v>
      </c>
      <c r="D387" s="4"/>
      <c r="E387" s="4" t="str">
        <f>"110512010"</f>
        <v>110512010</v>
      </c>
      <c r="F387" s="10">
        <v>40434</v>
      </c>
      <c r="G387" s="11">
        <v>55</v>
      </c>
      <c r="H387" s="11">
        <v>55</v>
      </c>
      <c r="I387" s="4" t="s">
        <v>1766</v>
      </c>
      <c r="J387" s="4" t="s">
        <v>1767</v>
      </c>
      <c r="K387" s="11">
        <v>0</v>
      </c>
      <c r="L387" s="4"/>
      <c r="M387" s="4"/>
      <c r="N387" s="11">
        <v>0</v>
      </c>
      <c r="O387" s="4"/>
      <c r="P387" s="4"/>
      <c r="Q387" s="11">
        <v>0</v>
      </c>
      <c r="R387" s="4"/>
      <c r="S387" s="12"/>
    </row>
    <row r="388" spans="1:19" x14ac:dyDescent="0.25">
      <c r="A388" s="9" t="s">
        <v>93</v>
      </c>
      <c r="B388" s="9" t="s">
        <v>93</v>
      </c>
      <c r="C388" s="4">
        <v>201005574</v>
      </c>
      <c r="D388" s="4"/>
      <c r="E388" s="4" t="str">
        <f>"110472010"</f>
        <v>110472010</v>
      </c>
      <c r="F388" s="10">
        <v>40434</v>
      </c>
      <c r="G388" s="11">
        <v>94.49</v>
      </c>
      <c r="H388" s="11">
        <v>94.49</v>
      </c>
      <c r="I388" s="4" t="s">
        <v>1766</v>
      </c>
      <c r="J388" s="4" t="s">
        <v>1767</v>
      </c>
      <c r="K388" s="11">
        <v>0</v>
      </c>
      <c r="L388" s="4"/>
      <c r="M388" s="4"/>
      <c r="N388" s="11">
        <v>0</v>
      </c>
      <c r="O388" s="4"/>
      <c r="P388" s="4"/>
      <c r="Q388" s="11">
        <v>0</v>
      </c>
      <c r="R388" s="4"/>
      <c r="S388" s="12"/>
    </row>
    <row r="389" spans="1:19" x14ac:dyDescent="0.25">
      <c r="A389" s="9" t="s">
        <v>93</v>
      </c>
      <c r="B389" s="9" t="s">
        <v>93</v>
      </c>
      <c r="C389" s="4">
        <v>201005575</v>
      </c>
      <c r="D389" s="4"/>
      <c r="E389" s="4" t="str">
        <f>"113022010"</f>
        <v>113022010</v>
      </c>
      <c r="F389" s="10">
        <v>40448</v>
      </c>
      <c r="G389" s="11">
        <v>55</v>
      </c>
      <c r="H389" s="11">
        <v>55</v>
      </c>
      <c r="I389" s="4" t="s">
        <v>1766</v>
      </c>
      <c r="J389" s="4" t="s">
        <v>1767</v>
      </c>
      <c r="K389" s="11">
        <v>0</v>
      </c>
      <c r="L389" s="4"/>
      <c r="M389" s="4"/>
      <c r="N389" s="11">
        <v>0</v>
      </c>
      <c r="O389" s="4"/>
      <c r="P389" s="4"/>
      <c r="Q389" s="11">
        <v>0</v>
      </c>
      <c r="R389" s="4"/>
      <c r="S389" s="12"/>
    </row>
    <row r="390" spans="1:19" x14ac:dyDescent="0.25">
      <c r="A390" s="9" t="s">
        <v>93</v>
      </c>
      <c r="B390" s="9" t="s">
        <v>93</v>
      </c>
      <c r="C390" s="4">
        <v>201005603</v>
      </c>
      <c r="D390" s="4"/>
      <c r="E390" s="4" t="str">
        <f>"114532010"</f>
        <v>114532010</v>
      </c>
      <c r="F390" s="10">
        <v>40449</v>
      </c>
      <c r="G390" s="11">
        <v>47</v>
      </c>
      <c r="H390" s="11">
        <v>47</v>
      </c>
      <c r="I390" s="4" t="s">
        <v>1766</v>
      </c>
      <c r="J390" s="4" t="s">
        <v>1767</v>
      </c>
      <c r="K390" s="11">
        <v>0</v>
      </c>
      <c r="L390" s="4"/>
      <c r="M390" s="4"/>
      <c r="N390" s="11">
        <v>0</v>
      </c>
      <c r="O390" s="4"/>
      <c r="P390" s="4"/>
      <c r="Q390" s="11">
        <v>0</v>
      </c>
      <c r="R390" s="4"/>
      <c r="S390" s="12"/>
    </row>
    <row r="391" spans="1:19" x14ac:dyDescent="0.25">
      <c r="A391" s="9" t="s">
        <v>93</v>
      </c>
      <c r="B391" s="9" t="s">
        <v>93</v>
      </c>
      <c r="C391" s="4">
        <v>201005624</v>
      </c>
      <c r="D391" s="4"/>
      <c r="E391" s="4" t="str">
        <f>"113402010"</f>
        <v>113402010</v>
      </c>
      <c r="F391" s="10">
        <v>40448</v>
      </c>
      <c r="G391" s="11">
        <v>44.16</v>
      </c>
      <c r="H391" s="11">
        <v>44.16</v>
      </c>
      <c r="I391" s="4" t="s">
        <v>1766</v>
      </c>
      <c r="J391" s="4" t="s">
        <v>1767</v>
      </c>
      <c r="K391" s="11">
        <v>0</v>
      </c>
      <c r="L391" s="4"/>
      <c r="M391" s="4"/>
      <c r="N391" s="11">
        <v>0</v>
      </c>
      <c r="O391" s="4"/>
      <c r="P391" s="4"/>
      <c r="Q391" s="11">
        <v>0</v>
      </c>
      <c r="R391" s="4"/>
      <c r="S391" s="12"/>
    </row>
    <row r="392" spans="1:19" x14ac:dyDescent="0.25">
      <c r="A392" s="9" t="s">
        <v>93</v>
      </c>
      <c r="B392" s="9" t="s">
        <v>93</v>
      </c>
      <c r="C392" s="4">
        <v>201005626</v>
      </c>
      <c r="D392" s="4"/>
      <c r="E392" s="4" t="str">
        <f>"113502010"</f>
        <v>113502010</v>
      </c>
      <c r="F392" s="10">
        <v>40448</v>
      </c>
      <c r="G392" s="11">
        <v>20</v>
      </c>
      <c r="H392" s="11">
        <v>20</v>
      </c>
      <c r="I392" s="4" t="s">
        <v>1766</v>
      </c>
      <c r="J392" s="4" t="s">
        <v>1767</v>
      </c>
      <c r="K392" s="11">
        <v>0</v>
      </c>
      <c r="L392" s="4"/>
      <c r="M392" s="4"/>
      <c r="N392" s="11">
        <v>0</v>
      </c>
      <c r="O392" s="4"/>
      <c r="P392" s="4"/>
      <c r="Q392" s="11">
        <v>0</v>
      </c>
      <c r="R392" s="4"/>
      <c r="S392" s="12"/>
    </row>
    <row r="393" spans="1:19" x14ac:dyDescent="0.25">
      <c r="A393" s="9" t="s">
        <v>93</v>
      </c>
      <c r="B393" s="9" t="s">
        <v>93</v>
      </c>
      <c r="C393" s="4">
        <v>201005629</v>
      </c>
      <c r="D393" s="4"/>
      <c r="E393" s="4" t="str">
        <f>"113562010"</f>
        <v>113562010</v>
      </c>
      <c r="F393" s="10">
        <v>40450</v>
      </c>
      <c r="G393" s="11">
        <v>16789.990000000002</v>
      </c>
      <c r="H393" s="11">
        <v>16789.990000000002</v>
      </c>
      <c r="I393" s="4" t="s">
        <v>54</v>
      </c>
      <c r="J393" s="4" t="s">
        <v>55</v>
      </c>
      <c r="K393" s="11">
        <v>0</v>
      </c>
      <c r="L393" s="4"/>
      <c r="M393" s="4"/>
      <c r="N393" s="11">
        <v>0</v>
      </c>
      <c r="O393" s="4"/>
      <c r="P393" s="4"/>
      <c r="Q393" s="11">
        <v>0</v>
      </c>
      <c r="R393" s="4"/>
      <c r="S393" s="12"/>
    </row>
    <row r="394" spans="1:19" x14ac:dyDescent="0.25">
      <c r="A394" s="9" t="s">
        <v>93</v>
      </c>
      <c r="B394" s="9" t="s">
        <v>93</v>
      </c>
      <c r="C394" s="4">
        <v>201005708</v>
      </c>
      <c r="D394" s="4"/>
      <c r="E394" s="4" t="str">
        <f>"114452010"</f>
        <v>114452010</v>
      </c>
      <c r="F394" s="10">
        <v>40449</v>
      </c>
      <c r="G394" s="11">
        <v>13</v>
      </c>
      <c r="H394" s="11">
        <v>13</v>
      </c>
      <c r="I394" s="4" t="s">
        <v>1766</v>
      </c>
      <c r="J394" s="4" t="s">
        <v>1767</v>
      </c>
      <c r="K394" s="11">
        <v>0</v>
      </c>
      <c r="L394" s="4"/>
      <c r="M394" s="4"/>
      <c r="N394" s="11">
        <v>0</v>
      </c>
      <c r="O394" s="4"/>
      <c r="P394" s="4"/>
      <c r="Q394" s="11">
        <v>0</v>
      </c>
      <c r="R394" s="4"/>
      <c r="S394" s="12"/>
    </row>
    <row r="395" spans="1:19" x14ac:dyDescent="0.25">
      <c r="A395" s="9" t="s">
        <v>93</v>
      </c>
      <c r="B395" s="9" t="s">
        <v>93</v>
      </c>
      <c r="C395" s="4">
        <v>201005740</v>
      </c>
      <c r="D395" s="4"/>
      <c r="E395" s="4" t="str">
        <f>"114412010"</f>
        <v>114412010</v>
      </c>
      <c r="F395" s="10">
        <v>40449</v>
      </c>
      <c r="G395" s="11">
        <v>35.619999999999997</v>
      </c>
      <c r="H395" s="11">
        <v>35.619999999999997</v>
      </c>
      <c r="I395" s="4" t="s">
        <v>1766</v>
      </c>
      <c r="J395" s="4" t="s">
        <v>1767</v>
      </c>
      <c r="K395" s="11">
        <v>0</v>
      </c>
      <c r="L395" s="4"/>
      <c r="M395" s="4"/>
      <c r="N395" s="11">
        <v>0</v>
      </c>
      <c r="O395" s="4"/>
      <c r="P395" s="4"/>
      <c r="Q395" s="11">
        <v>0</v>
      </c>
      <c r="R395" s="4"/>
      <c r="S395" s="12"/>
    </row>
    <row r="396" spans="1:19" x14ac:dyDescent="0.25">
      <c r="A396" s="9" t="s">
        <v>1772</v>
      </c>
      <c r="B396" s="9" t="s">
        <v>291</v>
      </c>
      <c r="C396" s="4">
        <v>201004513</v>
      </c>
      <c r="D396" s="4" t="s">
        <v>1773</v>
      </c>
      <c r="E396" s="4" t="str">
        <f>"091122010"</f>
        <v>091122010</v>
      </c>
      <c r="F396" s="10">
        <v>40368</v>
      </c>
      <c r="G396" s="11">
        <v>90000</v>
      </c>
      <c r="H396" s="11">
        <v>90000</v>
      </c>
      <c r="I396" s="4" t="s">
        <v>38</v>
      </c>
      <c r="J396" s="4" t="s">
        <v>39</v>
      </c>
      <c r="K396" s="11">
        <v>0</v>
      </c>
      <c r="L396" s="4"/>
      <c r="M396" s="4"/>
      <c r="N396" s="11">
        <v>0</v>
      </c>
      <c r="O396" s="4"/>
      <c r="P396" s="4"/>
      <c r="Q396" s="11">
        <v>0</v>
      </c>
      <c r="R396" s="4"/>
      <c r="S396" s="12"/>
    </row>
    <row r="397" spans="1:19" x14ac:dyDescent="0.25">
      <c r="A397" s="9" t="s">
        <v>136</v>
      </c>
      <c r="B397" s="9" t="s">
        <v>136</v>
      </c>
      <c r="C397" s="4">
        <v>201000035</v>
      </c>
      <c r="D397" s="4"/>
      <c r="E397" s="4" t="str">
        <f>"001402010"</f>
        <v>001402010</v>
      </c>
      <c r="F397" s="10">
        <v>40094</v>
      </c>
      <c r="G397" s="11">
        <v>2808.4</v>
      </c>
      <c r="H397" s="11">
        <v>2808.4</v>
      </c>
      <c r="I397" s="4" t="s">
        <v>366</v>
      </c>
      <c r="J397" s="4" t="s">
        <v>367</v>
      </c>
      <c r="K397" s="11">
        <v>0</v>
      </c>
      <c r="L397" s="4"/>
      <c r="M397" s="4"/>
      <c r="N397" s="11">
        <v>0</v>
      </c>
      <c r="O397" s="4"/>
      <c r="P397" s="4"/>
      <c r="Q397" s="11">
        <v>0</v>
      </c>
      <c r="R397" s="4"/>
      <c r="S397" s="12"/>
    </row>
    <row r="398" spans="1:19" x14ac:dyDescent="0.25">
      <c r="A398" s="9" t="s">
        <v>136</v>
      </c>
      <c r="B398" s="9" t="s">
        <v>136</v>
      </c>
      <c r="C398" s="4">
        <v>201000095</v>
      </c>
      <c r="D398" s="4"/>
      <c r="E398" s="4" t="str">
        <f>"001522010"</f>
        <v>001522010</v>
      </c>
      <c r="F398" s="10">
        <v>40094</v>
      </c>
      <c r="G398" s="11">
        <v>3036.01</v>
      </c>
      <c r="H398" s="11">
        <v>3036.01</v>
      </c>
      <c r="I398" s="4" t="s">
        <v>366</v>
      </c>
      <c r="J398" s="4" t="s">
        <v>367</v>
      </c>
      <c r="K398" s="11">
        <v>0</v>
      </c>
      <c r="L398" s="4"/>
      <c r="M398" s="4"/>
      <c r="N398" s="11">
        <v>0</v>
      </c>
      <c r="O398" s="4"/>
      <c r="P398" s="4"/>
      <c r="Q398" s="11">
        <v>0</v>
      </c>
      <c r="R398" s="4"/>
      <c r="S398" s="12"/>
    </row>
    <row r="399" spans="1:19" x14ac:dyDescent="0.25">
      <c r="A399" s="9" t="s">
        <v>136</v>
      </c>
      <c r="B399" s="9" t="s">
        <v>136</v>
      </c>
      <c r="C399" s="4">
        <v>201000283</v>
      </c>
      <c r="D399" s="4"/>
      <c r="E399" s="4" t="str">
        <f>"005272010"</f>
        <v>005272010</v>
      </c>
      <c r="F399" s="10">
        <v>40109</v>
      </c>
      <c r="G399" s="11">
        <v>5240.58</v>
      </c>
      <c r="H399" s="11">
        <v>5240.58</v>
      </c>
      <c r="I399" s="4" t="s">
        <v>366</v>
      </c>
      <c r="J399" s="4" t="s">
        <v>367</v>
      </c>
      <c r="K399" s="11">
        <v>0</v>
      </c>
      <c r="L399" s="4"/>
      <c r="M399" s="4"/>
      <c r="N399" s="11">
        <v>0</v>
      </c>
      <c r="O399" s="4"/>
      <c r="P399" s="4"/>
      <c r="Q399" s="11">
        <v>0</v>
      </c>
      <c r="R399" s="4"/>
      <c r="S399" s="12"/>
    </row>
    <row r="400" spans="1:19" x14ac:dyDescent="0.25">
      <c r="A400" s="9" t="s">
        <v>136</v>
      </c>
      <c r="B400" s="9" t="s">
        <v>136</v>
      </c>
      <c r="C400" s="4">
        <v>201000419</v>
      </c>
      <c r="D400" s="4"/>
      <c r="E400" s="4" t="str">
        <f>"007512010"</f>
        <v>007512010</v>
      </c>
      <c r="F400" s="10">
        <v>40119</v>
      </c>
      <c r="G400" s="11">
        <v>4319.63</v>
      </c>
      <c r="H400" s="11">
        <v>4319.63</v>
      </c>
      <c r="I400" s="4" t="s">
        <v>366</v>
      </c>
      <c r="J400" s="4" t="s">
        <v>367</v>
      </c>
      <c r="K400" s="11">
        <v>0</v>
      </c>
      <c r="L400" s="4"/>
      <c r="M400" s="4"/>
      <c r="N400" s="11">
        <v>0</v>
      </c>
      <c r="O400" s="4"/>
      <c r="P400" s="4"/>
      <c r="Q400" s="11">
        <v>0</v>
      </c>
      <c r="R400" s="4"/>
      <c r="S400" s="12"/>
    </row>
    <row r="401" spans="1:19" x14ac:dyDescent="0.25">
      <c r="A401" s="9" t="s">
        <v>136</v>
      </c>
      <c r="B401" s="9" t="s">
        <v>136</v>
      </c>
      <c r="C401" s="4">
        <v>201000658</v>
      </c>
      <c r="D401" s="4" t="s">
        <v>1774</v>
      </c>
      <c r="E401" s="4" t="str">
        <f>"012412010"</f>
        <v>012412010</v>
      </c>
      <c r="F401" s="10">
        <v>40134</v>
      </c>
      <c r="G401" s="11">
        <v>12500</v>
      </c>
      <c r="H401" s="11">
        <v>12500</v>
      </c>
      <c r="I401" s="4" t="s">
        <v>366</v>
      </c>
      <c r="J401" s="4" t="s">
        <v>367</v>
      </c>
      <c r="K401" s="11">
        <v>0</v>
      </c>
      <c r="L401" s="4"/>
      <c r="M401" s="4"/>
      <c r="N401" s="11">
        <v>0</v>
      </c>
      <c r="O401" s="4"/>
      <c r="P401" s="4"/>
      <c r="Q401" s="11">
        <v>0</v>
      </c>
      <c r="R401" s="4"/>
      <c r="S401" s="12"/>
    </row>
    <row r="402" spans="1:19" x14ac:dyDescent="0.25">
      <c r="A402" s="9" t="s">
        <v>136</v>
      </c>
      <c r="B402" s="9" t="s">
        <v>136</v>
      </c>
      <c r="C402" s="4">
        <v>201000923</v>
      </c>
      <c r="D402" s="4"/>
      <c r="E402" s="4" t="str">
        <f>"017502010"</f>
        <v>017502010</v>
      </c>
      <c r="F402" s="10">
        <v>40150</v>
      </c>
      <c r="G402" s="11">
        <v>11372.98</v>
      </c>
      <c r="H402" s="11">
        <v>11372.98</v>
      </c>
      <c r="I402" s="4" t="s">
        <v>366</v>
      </c>
      <c r="J402" s="4" t="s">
        <v>367</v>
      </c>
      <c r="K402" s="11">
        <v>0</v>
      </c>
      <c r="L402" s="4"/>
      <c r="M402" s="4"/>
      <c r="N402" s="11">
        <v>0</v>
      </c>
      <c r="O402" s="4"/>
      <c r="P402" s="4"/>
      <c r="Q402" s="11">
        <v>0</v>
      </c>
      <c r="R402" s="4"/>
      <c r="S402" s="12"/>
    </row>
    <row r="403" spans="1:19" x14ac:dyDescent="0.25">
      <c r="A403" s="9" t="s">
        <v>136</v>
      </c>
      <c r="B403" s="9" t="s">
        <v>136</v>
      </c>
      <c r="C403" s="4">
        <v>201001094</v>
      </c>
      <c r="D403" s="4"/>
      <c r="E403" s="4" t="str">
        <f>"021252010"</f>
        <v>021252010</v>
      </c>
      <c r="F403" s="10">
        <v>40158</v>
      </c>
      <c r="G403" s="11">
        <v>4007.54</v>
      </c>
      <c r="H403" s="11">
        <v>4007.54</v>
      </c>
      <c r="I403" s="4" t="s">
        <v>366</v>
      </c>
      <c r="J403" s="4" t="s">
        <v>367</v>
      </c>
      <c r="K403" s="11">
        <v>0</v>
      </c>
      <c r="L403" s="4"/>
      <c r="M403" s="4"/>
      <c r="N403" s="11">
        <v>0</v>
      </c>
      <c r="O403" s="4"/>
      <c r="P403" s="4"/>
      <c r="Q403" s="11">
        <v>0</v>
      </c>
      <c r="R403" s="4"/>
      <c r="S403" s="12"/>
    </row>
    <row r="404" spans="1:19" x14ac:dyDescent="0.25">
      <c r="A404" s="9" t="s">
        <v>136</v>
      </c>
      <c r="B404" s="9" t="s">
        <v>136</v>
      </c>
      <c r="C404" s="4">
        <v>201001392</v>
      </c>
      <c r="D404" s="4"/>
      <c r="E404" s="4" t="str">
        <f>"027172010"</f>
        <v>027172010</v>
      </c>
      <c r="F404" s="10">
        <v>40185</v>
      </c>
      <c r="G404" s="11">
        <v>4000</v>
      </c>
      <c r="H404" s="11">
        <v>4000</v>
      </c>
      <c r="I404" s="4" t="s">
        <v>366</v>
      </c>
      <c r="J404" s="4" t="s">
        <v>367</v>
      </c>
      <c r="K404" s="11">
        <v>0</v>
      </c>
      <c r="L404" s="4"/>
      <c r="M404" s="4"/>
      <c r="N404" s="11">
        <v>0</v>
      </c>
      <c r="O404" s="4"/>
      <c r="P404" s="4"/>
      <c r="Q404" s="11">
        <v>0</v>
      </c>
      <c r="R404" s="4"/>
      <c r="S404" s="12"/>
    </row>
    <row r="405" spans="1:19" x14ac:dyDescent="0.25">
      <c r="A405" s="9" t="s">
        <v>136</v>
      </c>
      <c r="B405" s="9" t="s">
        <v>136</v>
      </c>
      <c r="C405" s="4">
        <v>201001440</v>
      </c>
      <c r="D405" s="4"/>
      <c r="E405" s="4" t="str">
        <f>"027942010"</f>
        <v>027942010</v>
      </c>
      <c r="F405" s="10">
        <v>40186</v>
      </c>
      <c r="G405" s="11">
        <v>4838.32</v>
      </c>
      <c r="H405" s="11">
        <v>4838.32</v>
      </c>
      <c r="I405" s="4" t="s">
        <v>366</v>
      </c>
      <c r="J405" s="4" t="s">
        <v>367</v>
      </c>
      <c r="K405" s="11">
        <v>0</v>
      </c>
      <c r="L405" s="4"/>
      <c r="M405" s="4"/>
      <c r="N405" s="11">
        <v>0</v>
      </c>
      <c r="O405" s="4"/>
      <c r="P405" s="4"/>
      <c r="Q405" s="11">
        <v>0</v>
      </c>
      <c r="R405" s="4"/>
      <c r="S405" s="12"/>
    </row>
    <row r="406" spans="1:19" x14ac:dyDescent="0.25">
      <c r="A406" s="9" t="s">
        <v>136</v>
      </c>
      <c r="B406" s="9" t="s">
        <v>136</v>
      </c>
      <c r="C406" s="4">
        <v>201001460</v>
      </c>
      <c r="D406" s="4"/>
      <c r="E406" s="4" t="str">
        <f>"028602010"</f>
        <v>028602010</v>
      </c>
      <c r="F406" s="10">
        <v>40186</v>
      </c>
      <c r="G406" s="11">
        <v>6401.76</v>
      </c>
      <c r="H406" s="11">
        <v>6401.76</v>
      </c>
      <c r="I406" s="4" t="s">
        <v>366</v>
      </c>
      <c r="J406" s="4" t="s">
        <v>367</v>
      </c>
      <c r="K406" s="11">
        <v>0</v>
      </c>
      <c r="L406" s="4"/>
      <c r="M406" s="4"/>
      <c r="N406" s="11">
        <v>0</v>
      </c>
      <c r="O406" s="4"/>
      <c r="P406" s="4"/>
      <c r="Q406" s="11">
        <v>0</v>
      </c>
      <c r="R406" s="4"/>
      <c r="S406" s="12"/>
    </row>
    <row r="407" spans="1:19" x14ac:dyDescent="0.25">
      <c r="A407" s="9" t="s">
        <v>136</v>
      </c>
      <c r="B407" s="9" t="s">
        <v>136</v>
      </c>
      <c r="C407" s="4">
        <v>201001773</v>
      </c>
      <c r="D407" s="4"/>
      <c r="E407" s="4" t="str">
        <f>"034442010"</f>
        <v>034442010</v>
      </c>
      <c r="F407" s="10">
        <v>40213</v>
      </c>
      <c r="G407" s="11">
        <v>10245.219999999999</v>
      </c>
      <c r="H407" s="11">
        <v>10245.219999999999</v>
      </c>
      <c r="I407" s="4" t="s">
        <v>366</v>
      </c>
      <c r="J407" s="4" t="s">
        <v>367</v>
      </c>
      <c r="K407" s="11">
        <v>0</v>
      </c>
      <c r="L407" s="4"/>
      <c r="M407" s="4"/>
      <c r="N407" s="11">
        <v>0</v>
      </c>
      <c r="O407" s="4"/>
      <c r="P407" s="4"/>
      <c r="Q407" s="11">
        <v>0</v>
      </c>
      <c r="R407" s="4"/>
      <c r="S407" s="12"/>
    </row>
    <row r="408" spans="1:19" x14ac:dyDescent="0.25">
      <c r="A408" s="9" t="s">
        <v>136</v>
      </c>
      <c r="B408" s="9" t="s">
        <v>136</v>
      </c>
      <c r="C408" s="4">
        <v>201001827</v>
      </c>
      <c r="D408" s="4"/>
      <c r="E408" s="4" t="str">
        <f>"035542010"</f>
        <v>035542010</v>
      </c>
      <c r="F408" s="10">
        <v>40213</v>
      </c>
      <c r="G408" s="11">
        <v>3922.36</v>
      </c>
      <c r="H408" s="11">
        <v>3922.36</v>
      </c>
      <c r="I408" s="4" t="s">
        <v>366</v>
      </c>
      <c r="J408" s="4" t="s">
        <v>367</v>
      </c>
      <c r="K408" s="11">
        <v>0</v>
      </c>
      <c r="L408" s="4"/>
      <c r="M408" s="4"/>
      <c r="N408" s="11">
        <v>0</v>
      </c>
      <c r="O408" s="4"/>
      <c r="P408" s="4"/>
      <c r="Q408" s="11">
        <v>0</v>
      </c>
      <c r="R408" s="4"/>
      <c r="S408" s="12"/>
    </row>
    <row r="409" spans="1:19" x14ac:dyDescent="0.25">
      <c r="A409" s="9" t="s">
        <v>136</v>
      </c>
      <c r="B409" s="9" t="s">
        <v>136</v>
      </c>
      <c r="C409" s="4">
        <v>201001983</v>
      </c>
      <c r="D409" s="4" t="s">
        <v>1775</v>
      </c>
      <c r="E409" s="4" t="str">
        <f>"039522010"</f>
        <v>039522010</v>
      </c>
      <c r="F409" s="10">
        <v>40232</v>
      </c>
      <c r="G409" s="11">
        <v>3762.1</v>
      </c>
      <c r="H409" s="11">
        <v>3762.1</v>
      </c>
      <c r="I409" s="4" t="s">
        <v>366</v>
      </c>
      <c r="J409" s="4" t="s">
        <v>367</v>
      </c>
      <c r="K409" s="11">
        <v>0</v>
      </c>
      <c r="L409" s="4"/>
      <c r="M409" s="4"/>
      <c r="N409" s="11">
        <v>0</v>
      </c>
      <c r="O409" s="4"/>
      <c r="P409" s="4"/>
      <c r="Q409" s="11">
        <v>0</v>
      </c>
      <c r="R409" s="4"/>
      <c r="S409" s="12"/>
    </row>
    <row r="410" spans="1:19" x14ac:dyDescent="0.25">
      <c r="A410" s="9" t="s">
        <v>136</v>
      </c>
      <c r="B410" s="9" t="s">
        <v>136</v>
      </c>
      <c r="C410" s="4">
        <v>201002005</v>
      </c>
      <c r="D410" s="4"/>
      <c r="E410" s="4" t="str">
        <f>"039242010"</f>
        <v>039242010</v>
      </c>
      <c r="F410" s="10">
        <v>40228</v>
      </c>
      <c r="G410" s="11">
        <v>5563.8</v>
      </c>
      <c r="H410" s="11">
        <v>5563.8</v>
      </c>
      <c r="I410" s="4" t="s">
        <v>366</v>
      </c>
      <c r="J410" s="4" t="s">
        <v>367</v>
      </c>
      <c r="K410" s="11">
        <v>0</v>
      </c>
      <c r="L410" s="4"/>
      <c r="M410" s="4"/>
      <c r="N410" s="11">
        <v>0</v>
      </c>
      <c r="O410" s="4"/>
      <c r="P410" s="4"/>
      <c r="Q410" s="11">
        <v>0</v>
      </c>
      <c r="R410" s="4"/>
      <c r="S410" s="12"/>
    </row>
    <row r="411" spans="1:19" x14ac:dyDescent="0.25">
      <c r="A411" s="9" t="s">
        <v>136</v>
      </c>
      <c r="B411" s="9" t="s">
        <v>136</v>
      </c>
      <c r="C411" s="4">
        <v>201002201</v>
      </c>
      <c r="D411" s="4"/>
      <c r="E411" s="4" t="str">
        <f>"043632010"</f>
        <v>043632010</v>
      </c>
      <c r="F411" s="10">
        <v>40241</v>
      </c>
      <c r="G411" s="11">
        <v>3616.2</v>
      </c>
      <c r="H411" s="11">
        <v>3616.2</v>
      </c>
      <c r="I411" s="4" t="s">
        <v>366</v>
      </c>
      <c r="J411" s="4" t="s">
        <v>367</v>
      </c>
      <c r="K411" s="11">
        <v>0</v>
      </c>
      <c r="L411" s="4"/>
      <c r="M411" s="4"/>
      <c r="N411" s="11">
        <v>0</v>
      </c>
      <c r="O411" s="4"/>
      <c r="P411" s="4"/>
      <c r="Q411" s="11">
        <v>0</v>
      </c>
      <c r="R411" s="4"/>
      <c r="S411" s="12"/>
    </row>
    <row r="412" spans="1:19" x14ac:dyDescent="0.25">
      <c r="A412" s="9" t="s">
        <v>136</v>
      </c>
      <c r="B412" s="9" t="s">
        <v>136</v>
      </c>
      <c r="C412" s="4">
        <v>201002355</v>
      </c>
      <c r="D412" s="4"/>
      <c r="E412" s="4" t="str">
        <f>"048362010"</f>
        <v>048362010</v>
      </c>
      <c r="F412" s="10">
        <v>40255</v>
      </c>
      <c r="G412" s="11">
        <v>3927</v>
      </c>
      <c r="H412" s="11">
        <v>3927</v>
      </c>
      <c r="I412" s="4" t="s">
        <v>366</v>
      </c>
      <c r="J412" s="4" t="s">
        <v>367</v>
      </c>
      <c r="K412" s="11">
        <v>0</v>
      </c>
      <c r="L412" s="4"/>
      <c r="M412" s="4"/>
      <c r="N412" s="11">
        <v>0</v>
      </c>
      <c r="O412" s="4"/>
      <c r="P412" s="4"/>
      <c r="Q412" s="11">
        <v>0</v>
      </c>
      <c r="R412" s="4"/>
      <c r="S412" s="12"/>
    </row>
    <row r="413" spans="1:19" x14ac:dyDescent="0.25">
      <c r="A413" s="9" t="s">
        <v>136</v>
      </c>
      <c r="B413" s="9" t="s">
        <v>136</v>
      </c>
      <c r="C413" s="4">
        <v>201002405</v>
      </c>
      <c r="D413" s="4"/>
      <c r="E413" s="4" t="str">
        <f>"047702010"</f>
        <v>047702010</v>
      </c>
      <c r="F413" s="10">
        <v>40253</v>
      </c>
      <c r="G413" s="11">
        <v>11983.34</v>
      </c>
      <c r="H413" s="11">
        <v>11983.34</v>
      </c>
      <c r="I413" s="4" t="s">
        <v>366</v>
      </c>
      <c r="J413" s="4" t="s">
        <v>367</v>
      </c>
      <c r="K413" s="11">
        <v>0</v>
      </c>
      <c r="L413" s="4"/>
      <c r="M413" s="4"/>
      <c r="N413" s="11">
        <v>0</v>
      </c>
      <c r="O413" s="4"/>
      <c r="P413" s="4"/>
      <c r="Q413" s="11">
        <v>0</v>
      </c>
      <c r="R413" s="4"/>
      <c r="S413" s="12"/>
    </row>
    <row r="414" spans="1:19" x14ac:dyDescent="0.25">
      <c r="A414" s="9" t="s">
        <v>136</v>
      </c>
      <c r="B414" s="9" t="s">
        <v>136</v>
      </c>
      <c r="C414" s="4">
        <v>201002422</v>
      </c>
      <c r="D414" s="4"/>
      <c r="E414" s="4" t="str">
        <f>"048142010"</f>
        <v>048142010</v>
      </c>
      <c r="F414" s="10">
        <v>40254</v>
      </c>
      <c r="G414" s="11">
        <v>2860.74</v>
      </c>
      <c r="H414" s="11">
        <v>2860.74</v>
      </c>
      <c r="I414" s="4" t="s">
        <v>366</v>
      </c>
      <c r="J414" s="4" t="s">
        <v>367</v>
      </c>
      <c r="K414" s="11">
        <v>0</v>
      </c>
      <c r="L414" s="4"/>
      <c r="M414" s="4"/>
      <c r="N414" s="11">
        <v>0</v>
      </c>
      <c r="O414" s="4"/>
      <c r="P414" s="4"/>
      <c r="Q414" s="11">
        <v>0</v>
      </c>
      <c r="R414" s="4"/>
      <c r="S414" s="12"/>
    </row>
    <row r="415" spans="1:19" x14ac:dyDescent="0.25">
      <c r="A415" s="9" t="s">
        <v>136</v>
      </c>
      <c r="B415" s="9" t="s">
        <v>136</v>
      </c>
      <c r="C415" s="4">
        <v>201002667</v>
      </c>
      <c r="D415" s="4" t="s">
        <v>1776</v>
      </c>
      <c r="E415" s="4" t="str">
        <f>"052462010"</f>
        <v>052462010</v>
      </c>
      <c r="F415" s="10">
        <v>40270</v>
      </c>
      <c r="G415" s="11">
        <v>3450</v>
      </c>
      <c r="H415" s="11">
        <v>3450</v>
      </c>
      <c r="I415" s="4" t="s">
        <v>366</v>
      </c>
      <c r="J415" s="4" t="s">
        <v>367</v>
      </c>
      <c r="K415" s="11">
        <v>0</v>
      </c>
      <c r="L415" s="4"/>
      <c r="M415" s="4"/>
      <c r="N415" s="11">
        <v>0</v>
      </c>
      <c r="O415" s="4"/>
      <c r="P415" s="4"/>
      <c r="Q415" s="11">
        <v>0</v>
      </c>
      <c r="R415" s="4"/>
      <c r="S415" s="12"/>
    </row>
    <row r="416" spans="1:19" x14ac:dyDescent="0.25">
      <c r="A416" s="9" t="s">
        <v>136</v>
      </c>
      <c r="B416" s="9" t="s">
        <v>136</v>
      </c>
      <c r="C416" s="4">
        <v>201002747</v>
      </c>
      <c r="D416" s="4"/>
      <c r="E416" s="4" t="str">
        <f>"054142010"</f>
        <v>054142010</v>
      </c>
      <c r="F416" s="10">
        <v>40270</v>
      </c>
      <c r="G416" s="11">
        <v>3491.38</v>
      </c>
      <c r="H416" s="11">
        <v>3491.38</v>
      </c>
      <c r="I416" s="4" t="s">
        <v>366</v>
      </c>
      <c r="J416" s="4" t="s">
        <v>367</v>
      </c>
      <c r="K416" s="11">
        <v>0</v>
      </c>
      <c r="L416" s="4"/>
      <c r="M416" s="4"/>
      <c r="N416" s="11">
        <v>0</v>
      </c>
      <c r="O416" s="4"/>
      <c r="P416" s="4"/>
      <c r="Q416" s="11">
        <v>0</v>
      </c>
      <c r="R416" s="4"/>
      <c r="S416" s="12"/>
    </row>
    <row r="417" spans="1:19" x14ac:dyDescent="0.25">
      <c r="A417" s="9" t="s">
        <v>136</v>
      </c>
      <c r="B417" s="9" t="s">
        <v>136</v>
      </c>
      <c r="C417" s="4">
        <v>201002792</v>
      </c>
      <c r="D417" s="4"/>
      <c r="E417" s="4" t="str">
        <f>"054542010"</f>
        <v>054542010</v>
      </c>
      <c r="F417" s="10">
        <v>40270</v>
      </c>
      <c r="G417" s="11">
        <v>8853</v>
      </c>
      <c r="H417" s="11">
        <v>8853</v>
      </c>
      <c r="I417" s="4" t="s">
        <v>366</v>
      </c>
      <c r="J417" s="4" t="s">
        <v>367</v>
      </c>
      <c r="K417" s="11">
        <v>0</v>
      </c>
      <c r="L417" s="4"/>
      <c r="M417" s="4"/>
      <c r="N417" s="11">
        <v>0</v>
      </c>
      <c r="O417" s="4"/>
      <c r="P417" s="4"/>
      <c r="Q417" s="11">
        <v>0</v>
      </c>
      <c r="R417" s="4"/>
      <c r="S417" s="12"/>
    </row>
    <row r="418" spans="1:19" x14ac:dyDescent="0.25">
      <c r="A418" s="9" t="s">
        <v>136</v>
      </c>
      <c r="B418" s="9" t="s">
        <v>136</v>
      </c>
      <c r="C418" s="4">
        <v>201002832</v>
      </c>
      <c r="D418" s="4" t="s">
        <v>1777</v>
      </c>
      <c r="E418" s="4" t="str">
        <f>"055832010"</f>
        <v>055832010</v>
      </c>
      <c r="F418" s="10">
        <v>40275</v>
      </c>
      <c r="G418" s="11">
        <v>28250</v>
      </c>
      <c r="H418" s="11">
        <v>28250</v>
      </c>
      <c r="I418" s="4" t="s">
        <v>23</v>
      </c>
      <c r="J418" s="4" t="s">
        <v>24</v>
      </c>
      <c r="K418" s="11">
        <v>0</v>
      </c>
      <c r="L418" s="4"/>
      <c r="M418" s="4"/>
      <c r="N418" s="11">
        <v>0</v>
      </c>
      <c r="O418" s="4"/>
      <c r="P418" s="4"/>
      <c r="Q418" s="11">
        <v>0</v>
      </c>
      <c r="R418" s="4"/>
      <c r="S418" s="12"/>
    </row>
    <row r="419" spans="1:19" x14ac:dyDescent="0.25">
      <c r="A419" s="9" t="s">
        <v>136</v>
      </c>
      <c r="B419" s="9" t="s">
        <v>136</v>
      </c>
      <c r="C419" s="4">
        <v>201002932</v>
      </c>
      <c r="D419" s="4" t="s">
        <v>1778</v>
      </c>
      <c r="E419" s="4" t="str">
        <f>"058292010"</f>
        <v>058292010</v>
      </c>
      <c r="F419" s="10">
        <v>40284</v>
      </c>
      <c r="G419" s="11">
        <v>14500</v>
      </c>
      <c r="H419" s="11">
        <v>14500</v>
      </c>
      <c r="I419" s="4" t="s">
        <v>366</v>
      </c>
      <c r="J419" s="4" t="s">
        <v>367</v>
      </c>
      <c r="K419" s="11">
        <v>0</v>
      </c>
      <c r="L419" s="4"/>
      <c r="M419" s="4"/>
      <c r="N419" s="11">
        <v>0</v>
      </c>
      <c r="O419" s="4"/>
      <c r="P419" s="4"/>
      <c r="Q419" s="11">
        <v>0</v>
      </c>
      <c r="R419" s="4"/>
      <c r="S419" s="12"/>
    </row>
    <row r="420" spans="1:19" x14ac:dyDescent="0.25">
      <c r="A420" s="9" t="s">
        <v>136</v>
      </c>
      <c r="B420" s="9" t="s">
        <v>136</v>
      </c>
      <c r="C420" s="4">
        <v>201002938</v>
      </c>
      <c r="D420" s="4"/>
      <c r="E420" s="4" t="str">
        <f>"061482010"</f>
        <v>061482010</v>
      </c>
      <c r="F420" s="10">
        <v>40291</v>
      </c>
      <c r="G420" s="11">
        <v>6891.92</v>
      </c>
      <c r="H420" s="11">
        <v>6891.92</v>
      </c>
      <c r="I420" s="4" t="s">
        <v>366</v>
      </c>
      <c r="J420" s="4" t="s">
        <v>367</v>
      </c>
      <c r="K420" s="11">
        <v>0</v>
      </c>
      <c r="L420" s="4"/>
      <c r="M420" s="4"/>
      <c r="N420" s="11">
        <v>0</v>
      </c>
      <c r="O420" s="4"/>
      <c r="P420" s="4"/>
      <c r="Q420" s="11">
        <v>0</v>
      </c>
      <c r="R420" s="4"/>
      <c r="S420" s="12"/>
    </row>
    <row r="421" spans="1:19" x14ac:dyDescent="0.25">
      <c r="A421" s="9" t="s">
        <v>136</v>
      </c>
      <c r="B421" s="9" t="s">
        <v>945</v>
      </c>
      <c r="C421" s="4">
        <v>201002942</v>
      </c>
      <c r="D421" s="4" t="s">
        <v>1779</v>
      </c>
      <c r="E421" s="4" t="str">
        <f>"058792010"</f>
        <v>058792010</v>
      </c>
      <c r="F421" s="10">
        <v>40283</v>
      </c>
      <c r="G421" s="11">
        <v>3500</v>
      </c>
      <c r="H421" s="11">
        <v>3500</v>
      </c>
      <c r="I421" s="4" t="s">
        <v>366</v>
      </c>
      <c r="J421" s="4" t="s">
        <v>367</v>
      </c>
      <c r="K421" s="11">
        <v>0</v>
      </c>
      <c r="L421" s="4"/>
      <c r="M421" s="4"/>
      <c r="N421" s="11">
        <v>0</v>
      </c>
      <c r="O421" s="4"/>
      <c r="P421" s="4"/>
      <c r="Q421" s="11">
        <v>0</v>
      </c>
      <c r="R421" s="4"/>
      <c r="S421" s="12"/>
    </row>
    <row r="422" spans="1:19" x14ac:dyDescent="0.25">
      <c r="A422" s="9" t="s">
        <v>136</v>
      </c>
      <c r="B422" s="9" t="s">
        <v>136</v>
      </c>
      <c r="C422" s="4">
        <v>201002978</v>
      </c>
      <c r="D422" s="4" t="s">
        <v>1780</v>
      </c>
      <c r="E422" s="4" t="str">
        <f>"059012010"</f>
        <v>059012010</v>
      </c>
      <c r="F422" s="10">
        <v>40283</v>
      </c>
      <c r="G422" s="11">
        <v>3500</v>
      </c>
      <c r="H422" s="11">
        <v>3500</v>
      </c>
      <c r="I422" s="4" t="s">
        <v>366</v>
      </c>
      <c r="J422" s="4" t="s">
        <v>367</v>
      </c>
      <c r="K422" s="11">
        <v>0</v>
      </c>
      <c r="L422" s="4"/>
      <c r="M422" s="4"/>
      <c r="N422" s="11">
        <v>0</v>
      </c>
      <c r="O422" s="4"/>
      <c r="P422" s="4"/>
      <c r="Q422" s="11">
        <v>0</v>
      </c>
      <c r="R422" s="4"/>
      <c r="S422" s="12"/>
    </row>
    <row r="423" spans="1:19" x14ac:dyDescent="0.25">
      <c r="A423" s="9" t="s">
        <v>136</v>
      </c>
      <c r="B423" s="9" t="s">
        <v>136</v>
      </c>
      <c r="C423" s="4">
        <v>201002981</v>
      </c>
      <c r="D423" s="4" t="s">
        <v>1780</v>
      </c>
      <c r="E423" s="4" t="str">
        <f>"059052010"</f>
        <v>059052010</v>
      </c>
      <c r="F423" s="10">
        <v>40284</v>
      </c>
      <c r="G423" s="11">
        <v>3500</v>
      </c>
      <c r="H423" s="11">
        <v>3500</v>
      </c>
      <c r="I423" s="4" t="s">
        <v>366</v>
      </c>
      <c r="J423" s="4" t="s">
        <v>367</v>
      </c>
      <c r="K423" s="11">
        <v>0</v>
      </c>
      <c r="L423" s="4"/>
      <c r="M423" s="4"/>
      <c r="N423" s="11">
        <v>0</v>
      </c>
      <c r="O423" s="4"/>
      <c r="P423" s="4"/>
      <c r="Q423" s="11">
        <v>0</v>
      </c>
      <c r="R423" s="4"/>
      <c r="S423" s="12"/>
    </row>
    <row r="424" spans="1:19" x14ac:dyDescent="0.25">
      <c r="A424" s="9" t="s">
        <v>136</v>
      </c>
      <c r="B424" s="9" t="s">
        <v>136</v>
      </c>
      <c r="C424" s="4">
        <v>201003054</v>
      </c>
      <c r="D424" s="4"/>
      <c r="E424" s="4" t="str">
        <f>"061122010"</f>
        <v>061122010</v>
      </c>
      <c r="F424" s="10">
        <v>40291</v>
      </c>
      <c r="G424" s="11">
        <v>4046.3</v>
      </c>
      <c r="H424" s="11">
        <v>4046.3</v>
      </c>
      <c r="I424" s="4" t="s">
        <v>366</v>
      </c>
      <c r="J424" s="4" t="s">
        <v>367</v>
      </c>
      <c r="K424" s="11">
        <v>0</v>
      </c>
      <c r="L424" s="4"/>
      <c r="M424" s="4"/>
      <c r="N424" s="11">
        <v>0</v>
      </c>
      <c r="O424" s="4"/>
      <c r="P424" s="4"/>
      <c r="Q424" s="11">
        <v>0</v>
      </c>
      <c r="R424" s="4"/>
      <c r="S424" s="12"/>
    </row>
    <row r="425" spans="1:19" x14ac:dyDescent="0.25">
      <c r="A425" s="9" t="s">
        <v>136</v>
      </c>
      <c r="B425" s="9" t="s">
        <v>136</v>
      </c>
      <c r="C425" s="4">
        <v>201003109</v>
      </c>
      <c r="D425" s="4" t="s">
        <v>1781</v>
      </c>
      <c r="E425" s="4" t="str">
        <f>"061622010"</f>
        <v>061622010</v>
      </c>
      <c r="F425" s="10">
        <v>40291</v>
      </c>
      <c r="G425" s="11">
        <v>25000</v>
      </c>
      <c r="H425" s="11">
        <v>25000</v>
      </c>
      <c r="I425" s="4" t="s">
        <v>366</v>
      </c>
      <c r="J425" s="4" t="s">
        <v>367</v>
      </c>
      <c r="K425" s="11">
        <v>0</v>
      </c>
      <c r="L425" s="4"/>
      <c r="M425" s="4"/>
      <c r="N425" s="11">
        <v>0</v>
      </c>
      <c r="O425" s="4"/>
      <c r="P425" s="4"/>
      <c r="Q425" s="11">
        <v>0</v>
      </c>
      <c r="R425" s="4"/>
      <c r="S425" s="12"/>
    </row>
    <row r="426" spans="1:19" x14ac:dyDescent="0.25">
      <c r="A426" s="9" t="s">
        <v>136</v>
      </c>
      <c r="B426" s="9" t="s">
        <v>136</v>
      </c>
      <c r="C426" s="4">
        <v>201003662</v>
      </c>
      <c r="D426" s="4"/>
      <c r="E426" s="4" t="str">
        <f>"073092010"</f>
        <v>073092010</v>
      </c>
      <c r="F426" s="10">
        <v>40324</v>
      </c>
      <c r="G426" s="11">
        <v>4679.16</v>
      </c>
      <c r="H426" s="11">
        <v>4679.16</v>
      </c>
      <c r="I426" s="4" t="s">
        <v>366</v>
      </c>
      <c r="J426" s="4" t="s">
        <v>367</v>
      </c>
      <c r="K426" s="11">
        <v>0</v>
      </c>
      <c r="L426" s="4"/>
      <c r="M426" s="4"/>
      <c r="N426" s="11">
        <v>0</v>
      </c>
      <c r="O426" s="4"/>
      <c r="P426" s="4"/>
      <c r="Q426" s="11">
        <v>0</v>
      </c>
      <c r="R426" s="4"/>
      <c r="S426" s="12"/>
    </row>
    <row r="427" spans="1:19" x14ac:dyDescent="0.25">
      <c r="A427" s="9" t="s">
        <v>136</v>
      </c>
      <c r="B427" s="9" t="s">
        <v>136</v>
      </c>
      <c r="C427" s="4">
        <v>201004108</v>
      </c>
      <c r="D427" s="4"/>
      <c r="E427" s="4" t="str">
        <f>"080862010"</f>
        <v>080862010</v>
      </c>
      <c r="F427" s="10">
        <v>40346</v>
      </c>
      <c r="G427" s="11">
        <v>8445.25</v>
      </c>
      <c r="H427" s="11">
        <v>8445.25</v>
      </c>
      <c r="I427" s="4" t="s">
        <v>366</v>
      </c>
      <c r="J427" s="4" t="s">
        <v>367</v>
      </c>
      <c r="K427" s="11">
        <v>0</v>
      </c>
      <c r="L427" s="4"/>
      <c r="M427" s="4"/>
      <c r="N427" s="11">
        <v>0</v>
      </c>
      <c r="O427" s="4"/>
      <c r="P427" s="4"/>
      <c r="Q427" s="11">
        <v>0</v>
      </c>
      <c r="R427" s="4"/>
      <c r="S427" s="12"/>
    </row>
    <row r="428" spans="1:19" x14ac:dyDescent="0.25">
      <c r="A428" s="9" t="s">
        <v>136</v>
      </c>
      <c r="B428" s="9" t="s">
        <v>136</v>
      </c>
      <c r="C428" s="4">
        <v>201004332</v>
      </c>
      <c r="D428" s="4"/>
      <c r="E428" s="4" t="str">
        <f>"086662010"</f>
        <v>086662010</v>
      </c>
      <c r="F428" s="10">
        <v>40358</v>
      </c>
      <c r="G428" s="11">
        <v>2765.06</v>
      </c>
      <c r="H428" s="11">
        <v>2765.06</v>
      </c>
      <c r="I428" s="4" t="s">
        <v>366</v>
      </c>
      <c r="J428" s="4" t="s">
        <v>367</v>
      </c>
      <c r="K428" s="11">
        <v>0</v>
      </c>
      <c r="L428" s="4"/>
      <c r="M428" s="4"/>
      <c r="N428" s="11">
        <v>0</v>
      </c>
      <c r="O428" s="4"/>
      <c r="P428" s="4"/>
      <c r="Q428" s="11">
        <v>0</v>
      </c>
      <c r="R428" s="4"/>
      <c r="S428" s="12"/>
    </row>
    <row r="429" spans="1:19" x14ac:dyDescent="0.25">
      <c r="A429" s="9" t="s">
        <v>136</v>
      </c>
      <c r="B429" s="9" t="s">
        <v>136</v>
      </c>
      <c r="C429" s="4">
        <v>201004483</v>
      </c>
      <c r="D429" s="4" t="s">
        <v>1782</v>
      </c>
      <c r="E429" s="4" t="str">
        <f>"089962010"</f>
        <v>089962010</v>
      </c>
      <c r="F429" s="10">
        <v>40367</v>
      </c>
      <c r="G429" s="11">
        <v>50000</v>
      </c>
      <c r="H429" s="11">
        <v>50000</v>
      </c>
      <c r="I429" s="4" t="s">
        <v>366</v>
      </c>
      <c r="J429" s="4" t="s">
        <v>367</v>
      </c>
      <c r="K429" s="11">
        <v>0</v>
      </c>
      <c r="L429" s="4"/>
      <c r="M429" s="4"/>
      <c r="N429" s="11">
        <v>0</v>
      </c>
      <c r="O429" s="4"/>
      <c r="P429" s="4"/>
      <c r="Q429" s="11">
        <v>0</v>
      </c>
      <c r="R429" s="4"/>
      <c r="S429" s="12"/>
    </row>
    <row r="430" spans="1:19" x14ac:dyDescent="0.25">
      <c r="A430" s="9" t="s">
        <v>136</v>
      </c>
      <c r="B430" s="9" t="s">
        <v>136</v>
      </c>
      <c r="C430" s="4">
        <v>201004556</v>
      </c>
      <c r="D430" s="4"/>
      <c r="E430" s="4" t="str">
        <f>"090662010"</f>
        <v>090662010</v>
      </c>
      <c r="F430" s="10">
        <v>40367</v>
      </c>
      <c r="G430" s="11">
        <v>5300</v>
      </c>
      <c r="H430" s="11">
        <v>5300</v>
      </c>
      <c r="I430" s="4" t="s">
        <v>366</v>
      </c>
      <c r="J430" s="4" t="s">
        <v>367</v>
      </c>
      <c r="K430" s="11">
        <v>0</v>
      </c>
      <c r="L430" s="4"/>
      <c r="M430" s="4"/>
      <c r="N430" s="11">
        <v>0</v>
      </c>
      <c r="O430" s="4"/>
      <c r="P430" s="4"/>
      <c r="Q430" s="11">
        <v>0</v>
      </c>
      <c r="R430" s="4"/>
      <c r="S430" s="12"/>
    </row>
    <row r="431" spans="1:19" x14ac:dyDescent="0.25">
      <c r="A431" s="9" t="s">
        <v>136</v>
      </c>
      <c r="B431" s="9" t="s">
        <v>136</v>
      </c>
      <c r="C431" s="4">
        <v>201004613</v>
      </c>
      <c r="D431" s="4"/>
      <c r="E431" s="4" t="str">
        <f>"093862010"</f>
        <v>093862010</v>
      </c>
      <c r="F431" s="10">
        <v>40375</v>
      </c>
      <c r="G431" s="11">
        <v>4622.93</v>
      </c>
      <c r="H431" s="11">
        <v>4622.93</v>
      </c>
      <c r="I431" s="4" t="s">
        <v>366</v>
      </c>
      <c r="J431" s="4" t="s">
        <v>367</v>
      </c>
      <c r="K431" s="11">
        <v>0</v>
      </c>
      <c r="L431" s="4"/>
      <c r="M431" s="4"/>
      <c r="N431" s="11">
        <v>0</v>
      </c>
      <c r="O431" s="4"/>
      <c r="P431" s="4"/>
      <c r="Q431" s="11">
        <v>0</v>
      </c>
      <c r="R431" s="4"/>
      <c r="S431" s="12"/>
    </row>
    <row r="432" spans="1:19" x14ac:dyDescent="0.25">
      <c r="A432" s="9" t="s">
        <v>136</v>
      </c>
      <c r="B432" s="9" t="s">
        <v>136</v>
      </c>
      <c r="C432" s="4">
        <v>201004864</v>
      </c>
      <c r="D432" s="4"/>
      <c r="E432" s="4" t="str">
        <f>"096832010"</f>
        <v>096832010</v>
      </c>
      <c r="F432" s="10">
        <v>40394</v>
      </c>
      <c r="G432" s="11">
        <v>2666.28</v>
      </c>
      <c r="H432" s="11">
        <v>2666.28</v>
      </c>
      <c r="I432" s="4" t="s">
        <v>366</v>
      </c>
      <c r="J432" s="4" t="s">
        <v>367</v>
      </c>
      <c r="K432" s="11">
        <v>0</v>
      </c>
      <c r="L432" s="4"/>
      <c r="M432" s="4"/>
      <c r="N432" s="11">
        <v>0</v>
      </c>
      <c r="O432" s="4"/>
      <c r="P432" s="4"/>
      <c r="Q432" s="11">
        <v>0</v>
      </c>
      <c r="R432" s="4"/>
      <c r="S432" s="12"/>
    </row>
    <row r="433" spans="1:19" x14ac:dyDescent="0.25">
      <c r="A433" s="9" t="s">
        <v>136</v>
      </c>
      <c r="B433" s="9" t="s">
        <v>136</v>
      </c>
      <c r="C433" s="4">
        <v>201004920</v>
      </c>
      <c r="D433" s="4"/>
      <c r="E433" s="4" t="str">
        <f>"098862010"</f>
        <v>098862010</v>
      </c>
      <c r="F433" s="10">
        <v>40396</v>
      </c>
      <c r="G433" s="11">
        <v>6972.85</v>
      </c>
      <c r="H433" s="11">
        <v>6972.85</v>
      </c>
      <c r="I433" s="4" t="s">
        <v>366</v>
      </c>
      <c r="J433" s="4" t="s">
        <v>367</v>
      </c>
      <c r="K433" s="11">
        <v>0</v>
      </c>
      <c r="L433" s="4"/>
      <c r="M433" s="4"/>
      <c r="N433" s="11">
        <v>0</v>
      </c>
      <c r="O433" s="4"/>
      <c r="P433" s="4"/>
      <c r="Q433" s="11">
        <v>0</v>
      </c>
      <c r="R433" s="4"/>
      <c r="S433" s="12"/>
    </row>
    <row r="434" spans="1:19" x14ac:dyDescent="0.25">
      <c r="A434" s="9" t="s">
        <v>136</v>
      </c>
      <c r="B434" s="9" t="s">
        <v>136</v>
      </c>
      <c r="C434" s="4">
        <v>201005247</v>
      </c>
      <c r="D434" s="4"/>
      <c r="E434" s="4" t="str">
        <f>"104732010"</f>
        <v>104732010</v>
      </c>
      <c r="F434" s="10">
        <v>40413</v>
      </c>
      <c r="G434" s="11">
        <v>7500</v>
      </c>
      <c r="H434" s="11">
        <v>7500</v>
      </c>
      <c r="I434" s="4" t="s">
        <v>366</v>
      </c>
      <c r="J434" s="4" t="s">
        <v>367</v>
      </c>
      <c r="K434" s="11">
        <v>0</v>
      </c>
      <c r="L434" s="4"/>
      <c r="M434" s="4"/>
      <c r="N434" s="11">
        <v>0</v>
      </c>
      <c r="O434" s="4"/>
      <c r="P434" s="4"/>
      <c r="Q434" s="11">
        <v>0</v>
      </c>
      <c r="R434" s="4"/>
      <c r="S434" s="12"/>
    </row>
    <row r="435" spans="1:19" x14ac:dyDescent="0.25">
      <c r="A435" s="9" t="s">
        <v>136</v>
      </c>
      <c r="B435" s="9" t="s">
        <v>136</v>
      </c>
      <c r="C435" s="4">
        <v>201005251</v>
      </c>
      <c r="D435" s="4" t="s">
        <v>1783</v>
      </c>
      <c r="E435" s="4" t="str">
        <f>"104692010"</f>
        <v>104692010</v>
      </c>
      <c r="F435" s="10">
        <v>40413</v>
      </c>
      <c r="G435" s="11">
        <v>30000</v>
      </c>
      <c r="H435" s="11">
        <v>30000</v>
      </c>
      <c r="I435" s="4" t="s">
        <v>366</v>
      </c>
      <c r="J435" s="4" t="s">
        <v>367</v>
      </c>
      <c r="K435" s="11">
        <v>0</v>
      </c>
      <c r="L435" s="4"/>
      <c r="M435" s="4"/>
      <c r="N435" s="11">
        <v>0</v>
      </c>
      <c r="O435" s="4"/>
      <c r="P435" s="4"/>
      <c r="Q435" s="11">
        <v>0</v>
      </c>
      <c r="R435" s="4"/>
      <c r="S435" s="12"/>
    </row>
    <row r="436" spans="1:19" x14ac:dyDescent="0.25">
      <c r="A436" s="9" t="s">
        <v>136</v>
      </c>
      <c r="B436" s="9" t="s">
        <v>136</v>
      </c>
      <c r="C436" s="4">
        <v>201005513</v>
      </c>
      <c r="D436" s="4"/>
      <c r="E436" s="4" t="str">
        <f>"109812010"</f>
        <v>109812010</v>
      </c>
      <c r="F436" s="10">
        <v>40431</v>
      </c>
      <c r="G436" s="11">
        <v>2880.62</v>
      </c>
      <c r="H436" s="11">
        <v>2880.62</v>
      </c>
      <c r="I436" s="4" t="s">
        <v>366</v>
      </c>
      <c r="J436" s="4" t="s">
        <v>367</v>
      </c>
      <c r="K436" s="11">
        <v>0</v>
      </c>
      <c r="L436" s="4"/>
      <c r="M436" s="4"/>
      <c r="N436" s="11">
        <v>0</v>
      </c>
      <c r="O436" s="4"/>
      <c r="P436" s="4"/>
      <c r="Q436" s="11">
        <v>0</v>
      </c>
      <c r="R436" s="4"/>
      <c r="S436" s="12"/>
    </row>
    <row r="437" spans="1:19" x14ac:dyDescent="0.25">
      <c r="A437" s="9" t="s">
        <v>146</v>
      </c>
      <c r="B437" s="9" t="s">
        <v>146</v>
      </c>
      <c r="C437" s="4">
        <v>201000264</v>
      </c>
      <c r="D437" s="4"/>
      <c r="E437" s="4" t="str">
        <f>"004992010"</f>
        <v>004992010</v>
      </c>
      <c r="F437" s="10">
        <v>40109</v>
      </c>
      <c r="G437" s="11">
        <v>3898.45</v>
      </c>
      <c r="H437" s="11">
        <v>3898.45</v>
      </c>
      <c r="I437" s="4" t="s">
        <v>366</v>
      </c>
      <c r="J437" s="4" t="s">
        <v>367</v>
      </c>
      <c r="K437" s="11">
        <v>0</v>
      </c>
      <c r="L437" s="4"/>
      <c r="M437" s="4"/>
      <c r="N437" s="11">
        <v>0</v>
      </c>
      <c r="O437" s="4"/>
      <c r="P437" s="4"/>
      <c r="Q437" s="11">
        <v>0</v>
      </c>
      <c r="R437" s="4"/>
      <c r="S437" s="12"/>
    </row>
    <row r="438" spans="1:19" x14ac:dyDescent="0.25">
      <c r="A438" s="9" t="s">
        <v>146</v>
      </c>
      <c r="B438" s="9" t="s">
        <v>146</v>
      </c>
      <c r="C438" s="4">
        <v>201000271</v>
      </c>
      <c r="D438" s="4"/>
      <c r="E438" s="4" t="str">
        <f>"004572010"</f>
        <v>004572010</v>
      </c>
      <c r="F438" s="10">
        <v>40106</v>
      </c>
      <c r="G438" s="11">
        <v>5650.14</v>
      </c>
      <c r="H438" s="11">
        <v>5650.14</v>
      </c>
      <c r="I438" s="4" t="s">
        <v>366</v>
      </c>
      <c r="J438" s="4" t="s">
        <v>367</v>
      </c>
      <c r="K438" s="11">
        <v>0</v>
      </c>
      <c r="L438" s="4"/>
      <c r="M438" s="4"/>
      <c r="N438" s="11">
        <v>0</v>
      </c>
      <c r="O438" s="4"/>
      <c r="P438" s="4"/>
      <c r="Q438" s="11">
        <v>0</v>
      </c>
      <c r="R438" s="4"/>
      <c r="S438" s="12"/>
    </row>
    <row r="439" spans="1:19" x14ac:dyDescent="0.25">
      <c r="A439" s="9" t="s">
        <v>146</v>
      </c>
      <c r="B439" s="9" t="s">
        <v>146</v>
      </c>
      <c r="C439" s="4">
        <v>201001030</v>
      </c>
      <c r="D439" s="4"/>
      <c r="E439" s="4" t="str">
        <f>"019702010"</f>
        <v>019702010</v>
      </c>
      <c r="F439" s="10">
        <v>40157</v>
      </c>
      <c r="G439" s="11">
        <v>8500</v>
      </c>
      <c r="H439" s="11">
        <v>8500</v>
      </c>
      <c r="I439" s="4" t="s">
        <v>366</v>
      </c>
      <c r="J439" s="4" t="s">
        <v>367</v>
      </c>
      <c r="K439" s="11">
        <v>0</v>
      </c>
      <c r="L439" s="4"/>
      <c r="M439" s="4"/>
      <c r="N439" s="11">
        <v>0</v>
      </c>
      <c r="O439" s="4"/>
      <c r="P439" s="4"/>
      <c r="Q439" s="11">
        <v>0</v>
      </c>
      <c r="R439" s="4"/>
      <c r="S439" s="12"/>
    </row>
    <row r="440" spans="1:19" x14ac:dyDescent="0.25">
      <c r="A440" s="9" t="s">
        <v>1784</v>
      </c>
      <c r="B440" s="9" t="s">
        <v>265</v>
      </c>
      <c r="C440" s="4">
        <v>201005582</v>
      </c>
      <c r="D440" s="4"/>
      <c r="E440" s="4" t="str">
        <f>"112652010"</f>
        <v>112652010</v>
      </c>
      <c r="F440" s="10">
        <v>40443</v>
      </c>
      <c r="G440" s="11">
        <v>5571.12</v>
      </c>
      <c r="H440" s="11">
        <v>5571.12</v>
      </c>
      <c r="I440" s="4" t="s">
        <v>366</v>
      </c>
      <c r="J440" s="4" t="s">
        <v>367</v>
      </c>
      <c r="K440" s="11">
        <v>0</v>
      </c>
      <c r="L440" s="4"/>
      <c r="M440" s="4"/>
      <c r="N440" s="11">
        <v>0</v>
      </c>
      <c r="O440" s="4"/>
      <c r="P440" s="4"/>
      <c r="Q440" s="11">
        <v>0</v>
      </c>
      <c r="R440" s="4"/>
      <c r="S440" s="12"/>
    </row>
    <row r="441" spans="1:19" x14ac:dyDescent="0.25">
      <c r="A441" s="9" t="s">
        <v>150</v>
      </c>
      <c r="B441" s="9" t="s">
        <v>150</v>
      </c>
      <c r="C441" s="4">
        <v>200901289</v>
      </c>
      <c r="D441" s="4"/>
      <c r="E441" s="4" t="str">
        <f>"088442009"</f>
        <v>088442009</v>
      </c>
      <c r="F441" s="10">
        <v>40149</v>
      </c>
      <c r="G441" s="11">
        <v>2942.49</v>
      </c>
      <c r="H441" s="11">
        <v>2942.49</v>
      </c>
      <c r="I441" s="4" t="s">
        <v>366</v>
      </c>
      <c r="J441" s="4" t="s">
        <v>367</v>
      </c>
      <c r="K441" s="11">
        <v>0</v>
      </c>
      <c r="L441" s="4"/>
      <c r="M441" s="4"/>
      <c r="N441" s="11">
        <v>0</v>
      </c>
      <c r="O441" s="4"/>
      <c r="P441" s="4"/>
      <c r="Q441" s="11">
        <v>0</v>
      </c>
      <c r="R441" s="4"/>
      <c r="S441" s="12"/>
    </row>
    <row r="442" spans="1:19" x14ac:dyDescent="0.25">
      <c r="A442" s="9" t="s">
        <v>150</v>
      </c>
      <c r="B442" s="9" t="s">
        <v>150</v>
      </c>
      <c r="C442" s="4">
        <v>200905240</v>
      </c>
      <c r="D442" s="4"/>
      <c r="E442" s="4" t="str">
        <f>"087712009"</f>
        <v>087712009</v>
      </c>
      <c r="F442" s="10">
        <v>40092</v>
      </c>
      <c r="G442" s="11">
        <v>49520.41</v>
      </c>
      <c r="H442" s="11">
        <v>49520.41</v>
      </c>
      <c r="I442" s="4" t="s">
        <v>366</v>
      </c>
      <c r="J442" s="4" t="s">
        <v>367</v>
      </c>
      <c r="K442" s="11">
        <v>0</v>
      </c>
      <c r="L442" s="4"/>
      <c r="M442" s="4"/>
      <c r="N442" s="11">
        <v>0</v>
      </c>
      <c r="O442" s="4"/>
      <c r="P442" s="4"/>
      <c r="Q442" s="11">
        <v>0</v>
      </c>
      <c r="R442" s="4"/>
      <c r="S442" s="12"/>
    </row>
    <row r="443" spans="1:19" x14ac:dyDescent="0.25">
      <c r="A443" s="9" t="s">
        <v>150</v>
      </c>
      <c r="B443" s="9" t="s">
        <v>150</v>
      </c>
      <c r="C443" s="4">
        <v>200905338</v>
      </c>
      <c r="D443" s="4"/>
      <c r="E443" s="4" t="str">
        <f>"087722009"</f>
        <v>087722009</v>
      </c>
      <c r="F443" s="10">
        <v>40094</v>
      </c>
      <c r="G443" s="11">
        <v>1000</v>
      </c>
      <c r="H443" s="11">
        <v>1000</v>
      </c>
      <c r="I443" s="4" t="s">
        <v>1766</v>
      </c>
      <c r="J443" s="4" t="s">
        <v>1767</v>
      </c>
      <c r="K443" s="11">
        <v>0</v>
      </c>
      <c r="L443" s="4"/>
      <c r="M443" s="4"/>
      <c r="N443" s="11">
        <v>0</v>
      </c>
      <c r="O443" s="4"/>
      <c r="P443" s="4"/>
      <c r="Q443" s="11">
        <v>0</v>
      </c>
      <c r="R443" s="4"/>
      <c r="S443" s="12"/>
    </row>
    <row r="444" spans="1:19" x14ac:dyDescent="0.25">
      <c r="A444" s="9" t="s">
        <v>150</v>
      </c>
      <c r="B444" s="9" t="s">
        <v>150</v>
      </c>
      <c r="C444" s="4">
        <v>200905513</v>
      </c>
      <c r="D444" s="4"/>
      <c r="E444" s="4" t="str">
        <f>"088502009"</f>
        <v>088502009</v>
      </c>
      <c r="F444" s="10">
        <v>40165</v>
      </c>
      <c r="G444" s="11">
        <v>3637.31</v>
      </c>
      <c r="H444" s="11">
        <v>3637.31</v>
      </c>
      <c r="I444" s="4" t="s">
        <v>366</v>
      </c>
      <c r="J444" s="4" t="s">
        <v>367</v>
      </c>
      <c r="K444" s="11">
        <v>0</v>
      </c>
      <c r="L444" s="4"/>
      <c r="M444" s="4"/>
      <c r="N444" s="11">
        <v>0</v>
      </c>
      <c r="O444" s="4"/>
      <c r="P444" s="4"/>
      <c r="Q444" s="11">
        <v>0</v>
      </c>
      <c r="R444" s="4"/>
      <c r="S444" s="12"/>
    </row>
    <row r="445" spans="1:19" x14ac:dyDescent="0.25">
      <c r="A445" s="9" t="s">
        <v>150</v>
      </c>
      <c r="B445" s="9" t="s">
        <v>150</v>
      </c>
      <c r="C445" s="4">
        <v>200905898</v>
      </c>
      <c r="D445" s="4"/>
      <c r="E445" s="4" t="str">
        <f>"087162009"</f>
        <v>087162009</v>
      </c>
      <c r="F445" s="10">
        <v>40094</v>
      </c>
      <c r="G445" s="11">
        <v>167.26</v>
      </c>
      <c r="H445" s="11">
        <v>167.26</v>
      </c>
      <c r="I445" s="4" t="s">
        <v>1766</v>
      </c>
      <c r="J445" s="4" t="s">
        <v>1767</v>
      </c>
      <c r="K445" s="11">
        <v>0</v>
      </c>
      <c r="L445" s="4"/>
      <c r="M445" s="4"/>
      <c r="N445" s="11">
        <v>0</v>
      </c>
      <c r="O445" s="4"/>
      <c r="P445" s="4"/>
      <c r="Q445" s="11">
        <v>0</v>
      </c>
      <c r="R445" s="4"/>
      <c r="S445" s="12"/>
    </row>
    <row r="446" spans="1:19" x14ac:dyDescent="0.25">
      <c r="A446" s="9" t="s">
        <v>150</v>
      </c>
      <c r="B446" s="9" t="s">
        <v>150</v>
      </c>
      <c r="C446" s="4">
        <v>200905900</v>
      </c>
      <c r="D446" s="4"/>
      <c r="E446" s="4" t="str">
        <f>"087202009"</f>
        <v>087202009</v>
      </c>
      <c r="F446" s="10">
        <v>40094</v>
      </c>
      <c r="G446" s="11">
        <v>2746.54</v>
      </c>
      <c r="H446" s="11">
        <v>2746.54</v>
      </c>
      <c r="I446" s="4" t="s">
        <v>366</v>
      </c>
      <c r="J446" s="4" t="s">
        <v>367</v>
      </c>
      <c r="K446" s="11">
        <v>0</v>
      </c>
      <c r="L446" s="4"/>
      <c r="M446" s="4"/>
      <c r="N446" s="11">
        <v>0</v>
      </c>
      <c r="O446" s="4"/>
      <c r="P446" s="4"/>
      <c r="Q446" s="11">
        <v>0</v>
      </c>
      <c r="R446" s="4"/>
      <c r="S446" s="12"/>
    </row>
    <row r="447" spans="1:19" x14ac:dyDescent="0.25">
      <c r="A447" s="9" t="s">
        <v>150</v>
      </c>
      <c r="B447" s="9" t="s">
        <v>150</v>
      </c>
      <c r="C447" s="4">
        <v>200905901</v>
      </c>
      <c r="D447" s="4"/>
      <c r="E447" s="4" t="str">
        <f>"087182009"</f>
        <v>087182009</v>
      </c>
      <c r="F447" s="10">
        <v>40092</v>
      </c>
      <c r="G447" s="11">
        <v>575.4</v>
      </c>
      <c r="H447" s="11">
        <v>575.4</v>
      </c>
      <c r="I447" s="4" t="s">
        <v>1766</v>
      </c>
      <c r="J447" s="4" t="s">
        <v>1767</v>
      </c>
      <c r="K447" s="11">
        <v>0</v>
      </c>
      <c r="L447" s="4"/>
      <c r="M447" s="4"/>
      <c r="N447" s="11">
        <v>0</v>
      </c>
      <c r="O447" s="4"/>
      <c r="P447" s="4"/>
      <c r="Q447" s="11">
        <v>0</v>
      </c>
      <c r="R447" s="4"/>
      <c r="S447" s="12"/>
    </row>
    <row r="448" spans="1:19" x14ac:dyDescent="0.25">
      <c r="A448" s="9" t="s">
        <v>150</v>
      </c>
      <c r="B448" s="9" t="s">
        <v>150</v>
      </c>
      <c r="C448" s="4">
        <v>200905924</v>
      </c>
      <c r="D448" s="4"/>
      <c r="E448" s="4" t="str">
        <f>"087362009"</f>
        <v>087362009</v>
      </c>
      <c r="F448" s="10">
        <v>40094</v>
      </c>
      <c r="G448" s="11">
        <v>1000</v>
      </c>
      <c r="H448" s="11">
        <v>1000</v>
      </c>
      <c r="I448" s="4" t="s">
        <v>1766</v>
      </c>
      <c r="J448" s="4" t="s">
        <v>1767</v>
      </c>
      <c r="K448" s="11">
        <v>0</v>
      </c>
      <c r="L448" s="4"/>
      <c r="M448" s="4"/>
      <c r="N448" s="11">
        <v>0</v>
      </c>
      <c r="O448" s="4"/>
      <c r="P448" s="4"/>
      <c r="Q448" s="11">
        <v>0</v>
      </c>
      <c r="R448" s="4"/>
      <c r="S448" s="12"/>
    </row>
    <row r="449" spans="1:19" x14ac:dyDescent="0.25">
      <c r="A449" s="9" t="s">
        <v>150</v>
      </c>
      <c r="B449" s="9" t="s">
        <v>150</v>
      </c>
      <c r="C449" s="4">
        <v>201000089</v>
      </c>
      <c r="D449" s="4"/>
      <c r="E449" s="4" t="str">
        <f>"002822010"</f>
        <v>002822010</v>
      </c>
      <c r="F449" s="10">
        <v>40101</v>
      </c>
      <c r="G449" s="11">
        <v>219.99</v>
      </c>
      <c r="H449" s="11">
        <v>219.99</v>
      </c>
      <c r="I449" s="4" t="s">
        <v>1766</v>
      </c>
      <c r="J449" s="4" t="s">
        <v>1767</v>
      </c>
      <c r="K449" s="11">
        <v>0</v>
      </c>
      <c r="L449" s="4"/>
      <c r="M449" s="4"/>
      <c r="N449" s="11">
        <v>0</v>
      </c>
      <c r="O449" s="4"/>
      <c r="P449" s="4"/>
      <c r="Q449" s="11">
        <v>0</v>
      </c>
      <c r="R449" s="4"/>
      <c r="S449" s="12"/>
    </row>
    <row r="450" spans="1:19" x14ac:dyDescent="0.25">
      <c r="A450" s="9" t="s">
        <v>150</v>
      </c>
      <c r="B450" s="9" t="s">
        <v>150</v>
      </c>
      <c r="C450" s="4">
        <v>201000091</v>
      </c>
      <c r="D450" s="4"/>
      <c r="E450" s="4" t="str">
        <f>"002782010"</f>
        <v>002782010</v>
      </c>
      <c r="F450" s="10">
        <v>40101</v>
      </c>
      <c r="G450" s="11">
        <v>123.9</v>
      </c>
      <c r="H450" s="11">
        <v>123.9</v>
      </c>
      <c r="I450" s="4" t="s">
        <v>1766</v>
      </c>
      <c r="J450" s="4" t="s">
        <v>1767</v>
      </c>
      <c r="K450" s="11">
        <v>0</v>
      </c>
      <c r="L450" s="4"/>
      <c r="M450" s="4"/>
      <c r="N450" s="11">
        <v>0</v>
      </c>
      <c r="O450" s="4"/>
      <c r="P450" s="4"/>
      <c r="Q450" s="11">
        <v>0</v>
      </c>
      <c r="R450" s="4"/>
      <c r="S450" s="12"/>
    </row>
    <row r="451" spans="1:19" x14ac:dyDescent="0.25">
      <c r="A451" s="9" t="s">
        <v>150</v>
      </c>
      <c r="B451" s="9" t="s">
        <v>150</v>
      </c>
      <c r="C451" s="4">
        <v>201000093</v>
      </c>
      <c r="D451" s="4"/>
      <c r="E451" s="4" t="str">
        <f>"056602010"</f>
        <v>056602010</v>
      </c>
      <c r="F451" s="10">
        <v>40276</v>
      </c>
      <c r="G451" s="11">
        <v>3629.94</v>
      </c>
      <c r="H451" s="11">
        <v>3629.94</v>
      </c>
      <c r="I451" s="4" t="s">
        <v>366</v>
      </c>
      <c r="J451" s="4" t="s">
        <v>367</v>
      </c>
      <c r="K451" s="11">
        <v>0</v>
      </c>
      <c r="L451" s="4"/>
      <c r="M451" s="4"/>
      <c r="N451" s="11">
        <v>0</v>
      </c>
      <c r="O451" s="4"/>
      <c r="P451" s="4"/>
      <c r="Q451" s="11">
        <v>0</v>
      </c>
      <c r="R451" s="4"/>
      <c r="S451" s="12"/>
    </row>
    <row r="452" spans="1:19" x14ac:dyDescent="0.25">
      <c r="A452" s="9" t="s">
        <v>150</v>
      </c>
      <c r="B452" s="9" t="s">
        <v>150</v>
      </c>
      <c r="C452" s="4">
        <v>201000096</v>
      </c>
      <c r="D452" s="4"/>
      <c r="E452" s="4" t="str">
        <f>"003682010"</f>
        <v>003682010</v>
      </c>
      <c r="F452" s="10">
        <v>40105</v>
      </c>
      <c r="G452" s="11">
        <v>2837.78</v>
      </c>
      <c r="H452" s="11">
        <v>2837.78</v>
      </c>
      <c r="I452" s="4" t="s">
        <v>366</v>
      </c>
      <c r="J452" s="4" t="s">
        <v>367</v>
      </c>
      <c r="K452" s="11">
        <v>0</v>
      </c>
      <c r="L452" s="4"/>
      <c r="M452" s="4"/>
      <c r="N452" s="11">
        <v>0</v>
      </c>
      <c r="O452" s="4"/>
      <c r="P452" s="4"/>
      <c r="Q452" s="11">
        <v>0</v>
      </c>
      <c r="R452" s="4"/>
      <c r="S452" s="12"/>
    </row>
    <row r="453" spans="1:19" x14ac:dyDescent="0.25">
      <c r="A453" s="9" t="s">
        <v>150</v>
      </c>
      <c r="B453" s="9" t="s">
        <v>150</v>
      </c>
      <c r="C453" s="4">
        <v>201000120</v>
      </c>
      <c r="D453" s="4"/>
      <c r="E453" s="4" t="str">
        <f>"030822010"</f>
        <v>030822010</v>
      </c>
      <c r="F453" s="10">
        <v>40193</v>
      </c>
      <c r="G453" s="11">
        <v>9150.6</v>
      </c>
      <c r="H453" s="11">
        <v>9150.6</v>
      </c>
      <c r="I453" s="4" t="s">
        <v>366</v>
      </c>
      <c r="J453" s="4" t="s">
        <v>367</v>
      </c>
      <c r="K453" s="11">
        <v>0</v>
      </c>
      <c r="L453" s="4"/>
      <c r="M453" s="4"/>
      <c r="N453" s="11">
        <v>0</v>
      </c>
      <c r="O453" s="4"/>
      <c r="P453" s="4"/>
      <c r="Q453" s="11">
        <v>0</v>
      </c>
      <c r="R453" s="4"/>
      <c r="S453" s="12"/>
    </row>
    <row r="454" spans="1:19" x14ac:dyDescent="0.25">
      <c r="A454" s="9" t="s">
        <v>150</v>
      </c>
      <c r="B454" s="9" t="s">
        <v>150</v>
      </c>
      <c r="C454" s="4">
        <v>201000121</v>
      </c>
      <c r="D454" s="4"/>
      <c r="E454" s="4" t="str">
        <f>"002802010"</f>
        <v>002802010</v>
      </c>
      <c r="F454" s="10">
        <v>40099</v>
      </c>
      <c r="G454" s="11">
        <v>197.75</v>
      </c>
      <c r="H454" s="11">
        <v>197.75</v>
      </c>
      <c r="I454" s="4" t="s">
        <v>1766</v>
      </c>
      <c r="J454" s="4" t="s">
        <v>1767</v>
      </c>
      <c r="K454" s="11">
        <v>0</v>
      </c>
      <c r="L454" s="4"/>
      <c r="M454" s="4"/>
      <c r="N454" s="11">
        <v>0</v>
      </c>
      <c r="O454" s="4"/>
      <c r="P454" s="4"/>
      <c r="Q454" s="11">
        <v>0</v>
      </c>
      <c r="R454" s="4"/>
      <c r="S454" s="12"/>
    </row>
    <row r="455" spans="1:19" x14ac:dyDescent="0.25">
      <c r="A455" s="9" t="s">
        <v>150</v>
      </c>
      <c r="B455" s="9" t="s">
        <v>150</v>
      </c>
      <c r="C455" s="4">
        <v>201000155</v>
      </c>
      <c r="D455" s="4"/>
      <c r="E455" s="4" t="str">
        <f>"002622010"</f>
        <v>002622010</v>
      </c>
      <c r="F455" s="10">
        <v>40101</v>
      </c>
      <c r="G455" s="11">
        <v>21965.55</v>
      </c>
      <c r="H455" s="11">
        <v>21965.55</v>
      </c>
      <c r="I455" s="4" t="s">
        <v>366</v>
      </c>
      <c r="J455" s="4" t="s">
        <v>367</v>
      </c>
      <c r="K455" s="11">
        <v>0</v>
      </c>
      <c r="L455" s="4"/>
      <c r="M455" s="4"/>
      <c r="N455" s="11">
        <v>0</v>
      </c>
      <c r="O455" s="4"/>
      <c r="P455" s="4"/>
      <c r="Q455" s="11">
        <v>0</v>
      </c>
      <c r="R455" s="4"/>
      <c r="S455" s="12"/>
    </row>
    <row r="456" spans="1:19" x14ac:dyDescent="0.25">
      <c r="A456" s="9" t="s">
        <v>150</v>
      </c>
      <c r="B456" s="9" t="s">
        <v>150</v>
      </c>
      <c r="C456" s="4">
        <v>201000161</v>
      </c>
      <c r="D456" s="4"/>
      <c r="E456" s="4" t="str">
        <f>"003562010"</f>
        <v>003562010</v>
      </c>
      <c r="F456" s="10">
        <v>40101</v>
      </c>
      <c r="G456" s="11">
        <v>456.33</v>
      </c>
      <c r="H456" s="11">
        <v>456.33</v>
      </c>
      <c r="I456" s="4" t="s">
        <v>1766</v>
      </c>
      <c r="J456" s="4" t="s">
        <v>1767</v>
      </c>
      <c r="K456" s="11">
        <v>0</v>
      </c>
      <c r="L456" s="4"/>
      <c r="M456" s="4"/>
      <c r="N456" s="11">
        <v>0</v>
      </c>
      <c r="O456" s="4"/>
      <c r="P456" s="4"/>
      <c r="Q456" s="11">
        <v>0</v>
      </c>
      <c r="R456" s="4"/>
      <c r="S456" s="12"/>
    </row>
    <row r="457" spans="1:19" x14ac:dyDescent="0.25">
      <c r="A457" s="9" t="s">
        <v>150</v>
      </c>
      <c r="B457" s="9" t="s">
        <v>150</v>
      </c>
      <c r="C457" s="4">
        <v>201000171</v>
      </c>
      <c r="D457" s="4"/>
      <c r="E457" s="4" t="str">
        <f>"003702010"</f>
        <v>003702010</v>
      </c>
      <c r="F457" s="10">
        <v>40105</v>
      </c>
      <c r="G457" s="11">
        <v>89.44</v>
      </c>
      <c r="H457" s="11">
        <v>89.44</v>
      </c>
      <c r="I457" s="4" t="s">
        <v>1766</v>
      </c>
      <c r="J457" s="4" t="s">
        <v>1767</v>
      </c>
      <c r="K457" s="11">
        <v>0</v>
      </c>
      <c r="L457" s="4"/>
      <c r="M457" s="4"/>
      <c r="N457" s="11">
        <v>0</v>
      </c>
      <c r="O457" s="4"/>
      <c r="P457" s="4"/>
      <c r="Q457" s="11">
        <v>0</v>
      </c>
      <c r="R457" s="4"/>
      <c r="S457" s="12"/>
    </row>
    <row r="458" spans="1:19" x14ac:dyDescent="0.25">
      <c r="A458" s="9" t="s">
        <v>150</v>
      </c>
      <c r="B458" s="9" t="s">
        <v>150</v>
      </c>
      <c r="C458" s="4">
        <v>201000202</v>
      </c>
      <c r="D458" s="4"/>
      <c r="E458" s="4" t="str">
        <f>"003522010"</f>
        <v>003522010</v>
      </c>
      <c r="F458" s="10">
        <v>40101</v>
      </c>
      <c r="G458" s="11">
        <v>4291.16</v>
      </c>
      <c r="H458" s="11">
        <v>4291.16</v>
      </c>
      <c r="I458" s="4" t="s">
        <v>366</v>
      </c>
      <c r="J458" s="4" t="s">
        <v>367</v>
      </c>
      <c r="K458" s="11">
        <v>0</v>
      </c>
      <c r="L458" s="4"/>
      <c r="M458" s="4"/>
      <c r="N458" s="11">
        <v>0</v>
      </c>
      <c r="O458" s="4"/>
      <c r="P458" s="4"/>
      <c r="Q458" s="11">
        <v>0</v>
      </c>
      <c r="R458" s="4"/>
      <c r="S458" s="12"/>
    </row>
    <row r="459" spans="1:19" x14ac:dyDescent="0.25">
      <c r="A459" s="9" t="s">
        <v>150</v>
      </c>
      <c r="B459" s="9" t="s">
        <v>150</v>
      </c>
      <c r="C459" s="4">
        <v>201000229</v>
      </c>
      <c r="D459" s="4" t="s">
        <v>1785</v>
      </c>
      <c r="E459" s="4" t="str">
        <f>"004002010"</f>
        <v>004002010</v>
      </c>
      <c r="F459" s="10">
        <v>40102</v>
      </c>
      <c r="G459" s="11">
        <v>38700</v>
      </c>
      <c r="H459" s="11">
        <v>38700</v>
      </c>
      <c r="I459" s="4" t="s">
        <v>366</v>
      </c>
      <c r="J459" s="4" t="s">
        <v>367</v>
      </c>
      <c r="K459" s="11">
        <v>0</v>
      </c>
      <c r="L459" s="4"/>
      <c r="M459" s="4"/>
      <c r="N459" s="11">
        <v>0</v>
      </c>
      <c r="O459" s="4"/>
      <c r="P459" s="4"/>
      <c r="Q459" s="11">
        <v>0</v>
      </c>
      <c r="R459" s="4"/>
      <c r="S459" s="12"/>
    </row>
    <row r="460" spans="1:19" x14ac:dyDescent="0.25">
      <c r="A460" s="9" t="s">
        <v>150</v>
      </c>
      <c r="B460" s="9" t="s">
        <v>945</v>
      </c>
      <c r="C460" s="4">
        <v>201000270</v>
      </c>
      <c r="D460" s="4" t="s">
        <v>1786</v>
      </c>
      <c r="E460" s="4" t="str">
        <f>"007672010"</f>
        <v>007672010</v>
      </c>
      <c r="F460" s="10">
        <v>40119</v>
      </c>
      <c r="G460" s="11">
        <v>19250.5</v>
      </c>
      <c r="H460" s="11">
        <v>19250.5</v>
      </c>
      <c r="I460" s="4" t="s">
        <v>366</v>
      </c>
      <c r="J460" s="4" t="s">
        <v>367</v>
      </c>
      <c r="K460" s="11">
        <v>0</v>
      </c>
      <c r="L460" s="4"/>
      <c r="M460" s="4"/>
      <c r="N460" s="11">
        <v>0</v>
      </c>
      <c r="O460" s="4"/>
      <c r="P460" s="4"/>
      <c r="Q460" s="11">
        <v>0</v>
      </c>
      <c r="R460" s="4"/>
      <c r="S460" s="12"/>
    </row>
    <row r="461" spans="1:19" x14ac:dyDescent="0.25">
      <c r="A461" s="9" t="s">
        <v>150</v>
      </c>
      <c r="B461" s="9" t="s">
        <v>150</v>
      </c>
      <c r="C461" s="4">
        <v>201000296</v>
      </c>
      <c r="D461" s="4"/>
      <c r="E461" s="4" t="str">
        <f>"007032010"</f>
        <v>007032010</v>
      </c>
      <c r="F461" s="10">
        <v>40115</v>
      </c>
      <c r="G461" s="11">
        <v>4190.57</v>
      </c>
      <c r="H461" s="11">
        <v>4190.57</v>
      </c>
      <c r="I461" s="4" t="s">
        <v>366</v>
      </c>
      <c r="J461" s="4" t="s">
        <v>367</v>
      </c>
      <c r="K461" s="11">
        <v>0</v>
      </c>
      <c r="L461" s="4"/>
      <c r="M461" s="4"/>
      <c r="N461" s="11">
        <v>0</v>
      </c>
      <c r="O461" s="4"/>
      <c r="P461" s="4"/>
      <c r="Q461" s="11">
        <v>0</v>
      </c>
      <c r="R461" s="4"/>
      <c r="S461" s="12"/>
    </row>
    <row r="462" spans="1:19" x14ac:dyDescent="0.25">
      <c r="A462" s="9" t="s">
        <v>150</v>
      </c>
      <c r="B462" s="9" t="s">
        <v>150</v>
      </c>
      <c r="C462" s="4">
        <v>201000377</v>
      </c>
      <c r="D462" s="4"/>
      <c r="E462" s="4" t="str">
        <f>"007912010"</f>
        <v>007912010</v>
      </c>
      <c r="F462" s="10">
        <v>40116</v>
      </c>
      <c r="G462" s="11">
        <v>6131.04</v>
      </c>
      <c r="H462" s="11">
        <v>6131.04</v>
      </c>
      <c r="I462" s="4" t="s">
        <v>366</v>
      </c>
      <c r="J462" s="4" t="s">
        <v>367</v>
      </c>
      <c r="K462" s="11">
        <v>0</v>
      </c>
      <c r="L462" s="4"/>
      <c r="M462" s="4"/>
      <c r="N462" s="11">
        <v>0</v>
      </c>
      <c r="O462" s="4"/>
      <c r="P462" s="4"/>
      <c r="Q462" s="11">
        <v>0</v>
      </c>
      <c r="R462" s="4"/>
      <c r="S462" s="12"/>
    </row>
    <row r="463" spans="1:19" x14ac:dyDescent="0.25">
      <c r="A463" s="9" t="s">
        <v>150</v>
      </c>
      <c r="B463" s="9" t="s">
        <v>150</v>
      </c>
      <c r="C463" s="4">
        <v>201000378</v>
      </c>
      <c r="D463" s="4"/>
      <c r="E463" s="4" t="str">
        <f>"008952010"</f>
        <v>008952010</v>
      </c>
      <c r="F463" s="10">
        <v>40122</v>
      </c>
      <c r="G463" s="11">
        <v>787.05</v>
      </c>
      <c r="H463" s="11">
        <v>787.05</v>
      </c>
      <c r="I463" s="4" t="s">
        <v>1766</v>
      </c>
      <c r="J463" s="4" t="s">
        <v>1767</v>
      </c>
      <c r="K463" s="11">
        <v>0</v>
      </c>
      <c r="L463" s="4"/>
      <c r="M463" s="4"/>
      <c r="N463" s="11">
        <v>0</v>
      </c>
      <c r="O463" s="4"/>
      <c r="P463" s="4"/>
      <c r="Q463" s="11">
        <v>0</v>
      </c>
      <c r="R463" s="4"/>
      <c r="S463" s="12"/>
    </row>
    <row r="464" spans="1:19" x14ac:dyDescent="0.25">
      <c r="A464" s="9" t="s">
        <v>150</v>
      </c>
      <c r="B464" s="9" t="s">
        <v>150</v>
      </c>
      <c r="C464" s="4">
        <v>201000379</v>
      </c>
      <c r="D464" s="4"/>
      <c r="E464" s="4" t="str">
        <f>"007892010"</f>
        <v>007892010</v>
      </c>
      <c r="F464" s="10">
        <v>40120</v>
      </c>
      <c r="G464" s="11">
        <v>3067.03</v>
      </c>
      <c r="H464" s="11">
        <v>3067.03</v>
      </c>
      <c r="I464" s="4" t="s">
        <v>366</v>
      </c>
      <c r="J464" s="4" t="s">
        <v>367</v>
      </c>
      <c r="K464" s="11">
        <v>0</v>
      </c>
      <c r="L464" s="4"/>
      <c r="M464" s="4"/>
      <c r="N464" s="11">
        <v>0</v>
      </c>
      <c r="O464" s="4"/>
      <c r="P464" s="4"/>
      <c r="Q464" s="11">
        <v>0</v>
      </c>
      <c r="R464" s="4"/>
      <c r="S464" s="12"/>
    </row>
    <row r="465" spans="1:19" x14ac:dyDescent="0.25">
      <c r="A465" s="9" t="s">
        <v>150</v>
      </c>
      <c r="B465" s="9" t="s">
        <v>150</v>
      </c>
      <c r="C465" s="4">
        <v>201000472</v>
      </c>
      <c r="D465" s="4"/>
      <c r="E465" s="4" t="str">
        <f>"010212010"</f>
        <v>010212010</v>
      </c>
      <c r="F465" s="10">
        <v>40126</v>
      </c>
      <c r="G465" s="11">
        <v>3684.14</v>
      </c>
      <c r="H465" s="11">
        <v>3684.14</v>
      </c>
      <c r="I465" s="4" t="s">
        <v>366</v>
      </c>
      <c r="J465" s="4" t="s">
        <v>367</v>
      </c>
      <c r="K465" s="11">
        <v>0</v>
      </c>
      <c r="L465" s="4"/>
      <c r="M465" s="4"/>
      <c r="N465" s="11">
        <v>0</v>
      </c>
      <c r="O465" s="4"/>
      <c r="P465" s="4"/>
      <c r="Q465" s="11">
        <v>0</v>
      </c>
      <c r="R465" s="4"/>
      <c r="S465" s="12"/>
    </row>
    <row r="466" spans="1:19" x14ac:dyDescent="0.25">
      <c r="A466" s="9" t="s">
        <v>150</v>
      </c>
      <c r="B466" s="9" t="s">
        <v>150</v>
      </c>
      <c r="C466" s="4">
        <v>201000492</v>
      </c>
      <c r="D466" s="4"/>
      <c r="E466" s="4" t="str">
        <f>"010412010"</f>
        <v>010412010</v>
      </c>
      <c r="F466" s="10">
        <v>40126</v>
      </c>
      <c r="G466" s="11">
        <v>3705.89</v>
      </c>
      <c r="H466" s="11">
        <v>3705.89</v>
      </c>
      <c r="I466" s="4" t="s">
        <v>366</v>
      </c>
      <c r="J466" s="4" t="s">
        <v>367</v>
      </c>
      <c r="K466" s="11">
        <v>0</v>
      </c>
      <c r="L466" s="4"/>
      <c r="M466" s="4"/>
      <c r="N466" s="11">
        <v>0</v>
      </c>
      <c r="O466" s="4"/>
      <c r="P466" s="4"/>
      <c r="Q466" s="11">
        <v>0</v>
      </c>
      <c r="R466" s="4"/>
      <c r="S466" s="12"/>
    </row>
    <row r="467" spans="1:19" x14ac:dyDescent="0.25">
      <c r="A467" s="9" t="s">
        <v>150</v>
      </c>
      <c r="B467" s="9" t="s">
        <v>150</v>
      </c>
      <c r="C467" s="4">
        <v>201000520</v>
      </c>
      <c r="D467" s="4" t="s">
        <v>1787</v>
      </c>
      <c r="E467" s="4" t="str">
        <f>"009332010"</f>
        <v>009332010</v>
      </c>
      <c r="F467" s="10">
        <v>40122</v>
      </c>
      <c r="G467" s="11">
        <v>14000</v>
      </c>
      <c r="H467" s="11">
        <v>14000</v>
      </c>
      <c r="I467" s="4" t="s">
        <v>366</v>
      </c>
      <c r="J467" s="4" t="s">
        <v>367</v>
      </c>
      <c r="K467" s="11">
        <v>0</v>
      </c>
      <c r="L467" s="4"/>
      <c r="M467" s="4"/>
      <c r="N467" s="11">
        <v>0</v>
      </c>
      <c r="O467" s="4"/>
      <c r="P467" s="4"/>
      <c r="Q467" s="11">
        <v>0</v>
      </c>
      <c r="R467" s="4"/>
      <c r="S467" s="12"/>
    </row>
    <row r="468" spans="1:19" x14ac:dyDescent="0.25">
      <c r="A468" s="9" t="s">
        <v>150</v>
      </c>
      <c r="B468" s="9" t="s">
        <v>945</v>
      </c>
      <c r="C468" s="4">
        <v>201000562</v>
      </c>
      <c r="D468" s="4" t="s">
        <v>1788</v>
      </c>
      <c r="E468" s="4" t="str">
        <f>"010692010"</f>
        <v>010692010</v>
      </c>
      <c r="F468" s="10">
        <v>40127</v>
      </c>
      <c r="G468" s="11">
        <v>30000</v>
      </c>
      <c r="H468" s="11">
        <v>30000</v>
      </c>
      <c r="I468" s="4" t="s">
        <v>366</v>
      </c>
      <c r="J468" s="4" t="s">
        <v>367</v>
      </c>
      <c r="K468" s="11">
        <v>0</v>
      </c>
      <c r="L468" s="4"/>
      <c r="M468" s="4"/>
      <c r="N468" s="11">
        <v>0</v>
      </c>
      <c r="O468" s="4"/>
      <c r="P468" s="4"/>
      <c r="Q468" s="11">
        <v>0</v>
      </c>
      <c r="R468" s="4"/>
      <c r="S468" s="12"/>
    </row>
    <row r="469" spans="1:19" x14ac:dyDescent="0.25">
      <c r="A469" s="9" t="s">
        <v>150</v>
      </c>
      <c r="B469" s="9" t="s">
        <v>945</v>
      </c>
      <c r="C469" s="4">
        <v>201000595</v>
      </c>
      <c r="D469" s="4" t="s">
        <v>1789</v>
      </c>
      <c r="E469" s="4" t="str">
        <f>"011252010"</f>
        <v>011252010</v>
      </c>
      <c r="F469" s="10">
        <v>40129</v>
      </c>
      <c r="G469" s="11">
        <v>42985.34</v>
      </c>
      <c r="H469" s="11">
        <v>42985.34</v>
      </c>
      <c r="I469" s="4" t="s">
        <v>366</v>
      </c>
      <c r="J469" s="4" t="s">
        <v>367</v>
      </c>
      <c r="K469" s="11">
        <v>0</v>
      </c>
      <c r="L469" s="4"/>
      <c r="M469" s="4"/>
      <c r="N469" s="11">
        <v>0</v>
      </c>
      <c r="O469" s="4"/>
      <c r="P469" s="4"/>
      <c r="Q469" s="11">
        <v>0</v>
      </c>
      <c r="R469" s="4"/>
      <c r="S469" s="12"/>
    </row>
    <row r="470" spans="1:19" x14ac:dyDescent="0.25">
      <c r="A470" s="9" t="s">
        <v>150</v>
      </c>
      <c r="B470" s="9" t="s">
        <v>150</v>
      </c>
      <c r="C470" s="4">
        <v>201000665</v>
      </c>
      <c r="D470" s="4"/>
      <c r="E470" s="4" t="str">
        <f>"015862010"</f>
        <v>015862010</v>
      </c>
      <c r="F470" s="10">
        <v>40148</v>
      </c>
      <c r="G470" s="11">
        <v>4079.05</v>
      </c>
      <c r="H470" s="11">
        <v>4079.05</v>
      </c>
      <c r="I470" s="4" t="s">
        <v>366</v>
      </c>
      <c r="J470" s="4" t="s">
        <v>367</v>
      </c>
      <c r="K470" s="11">
        <v>0</v>
      </c>
      <c r="L470" s="4"/>
      <c r="M470" s="4"/>
      <c r="N470" s="11">
        <v>0</v>
      </c>
      <c r="O470" s="4"/>
      <c r="P470" s="4"/>
      <c r="Q470" s="11">
        <v>0</v>
      </c>
      <c r="R470" s="4"/>
      <c r="S470" s="12"/>
    </row>
    <row r="471" spans="1:19" x14ac:dyDescent="0.25">
      <c r="A471" s="9" t="s">
        <v>150</v>
      </c>
      <c r="B471" s="9" t="s">
        <v>150</v>
      </c>
      <c r="C471" s="4">
        <v>201000667</v>
      </c>
      <c r="D471" s="4"/>
      <c r="E471" s="4" t="str">
        <f>"012992010"</f>
        <v>012992010</v>
      </c>
      <c r="F471" s="10">
        <v>40137</v>
      </c>
      <c r="G471" s="11">
        <v>348.25</v>
      </c>
      <c r="H471" s="11">
        <v>348.25</v>
      </c>
      <c r="I471" s="4" t="s">
        <v>1766</v>
      </c>
      <c r="J471" s="4" t="s">
        <v>1767</v>
      </c>
      <c r="K471" s="11">
        <v>0</v>
      </c>
      <c r="L471" s="4"/>
      <c r="M471" s="4"/>
      <c r="N471" s="11">
        <v>0</v>
      </c>
      <c r="O471" s="4"/>
      <c r="P471" s="4"/>
      <c r="Q471" s="11">
        <v>0</v>
      </c>
      <c r="R471" s="4"/>
      <c r="S471" s="12"/>
    </row>
    <row r="472" spans="1:19" x14ac:dyDescent="0.25">
      <c r="A472" s="9" t="s">
        <v>150</v>
      </c>
      <c r="B472" s="9" t="s">
        <v>150</v>
      </c>
      <c r="C472" s="4">
        <v>201000668</v>
      </c>
      <c r="D472" s="4"/>
      <c r="E472" s="4" t="str">
        <f>"013112010"</f>
        <v>013112010</v>
      </c>
      <c r="F472" s="10">
        <v>40137</v>
      </c>
      <c r="G472" s="11">
        <v>303.39999999999998</v>
      </c>
      <c r="H472" s="11">
        <v>303.39999999999998</v>
      </c>
      <c r="I472" s="4" t="s">
        <v>1766</v>
      </c>
      <c r="J472" s="4" t="s">
        <v>1767</v>
      </c>
      <c r="K472" s="11">
        <v>0</v>
      </c>
      <c r="L472" s="4"/>
      <c r="M472" s="4"/>
      <c r="N472" s="11">
        <v>0</v>
      </c>
      <c r="O472" s="4"/>
      <c r="P472" s="4"/>
      <c r="Q472" s="11">
        <v>0</v>
      </c>
      <c r="R472" s="4"/>
      <c r="S472" s="12"/>
    </row>
    <row r="473" spans="1:19" x14ac:dyDescent="0.25">
      <c r="A473" s="9" t="s">
        <v>150</v>
      </c>
      <c r="B473" s="9" t="s">
        <v>945</v>
      </c>
      <c r="C473" s="4">
        <v>201000766</v>
      </c>
      <c r="D473" s="4"/>
      <c r="E473" s="4" t="str">
        <f>"014282010"</f>
        <v>014282010</v>
      </c>
      <c r="F473" s="10">
        <v>40141</v>
      </c>
      <c r="G473" s="11">
        <v>7843</v>
      </c>
      <c r="H473" s="11">
        <v>7843</v>
      </c>
      <c r="I473" s="4" t="s">
        <v>366</v>
      </c>
      <c r="J473" s="4" t="s">
        <v>367</v>
      </c>
      <c r="K473" s="11">
        <v>0</v>
      </c>
      <c r="L473" s="4"/>
      <c r="M473" s="4"/>
      <c r="N473" s="11">
        <v>0</v>
      </c>
      <c r="O473" s="4"/>
      <c r="P473" s="4"/>
      <c r="Q473" s="11">
        <v>0</v>
      </c>
      <c r="R473" s="4"/>
      <c r="S473" s="12"/>
    </row>
    <row r="474" spans="1:19" x14ac:dyDescent="0.25">
      <c r="A474" s="9" t="s">
        <v>150</v>
      </c>
      <c r="B474" s="9" t="s">
        <v>150</v>
      </c>
      <c r="C474" s="4">
        <v>201000810</v>
      </c>
      <c r="D474" s="4"/>
      <c r="E474" s="4" t="str">
        <f>"015922010"</f>
        <v>015922010</v>
      </c>
      <c r="F474" s="10">
        <v>40149</v>
      </c>
      <c r="G474" s="11">
        <v>94.26</v>
      </c>
      <c r="H474" s="11">
        <v>94.26</v>
      </c>
      <c r="I474" s="4" t="s">
        <v>1766</v>
      </c>
      <c r="J474" s="4" t="s">
        <v>1767</v>
      </c>
      <c r="K474" s="11">
        <v>0</v>
      </c>
      <c r="L474" s="4"/>
      <c r="M474" s="4"/>
      <c r="N474" s="11">
        <v>0</v>
      </c>
      <c r="O474" s="4"/>
      <c r="P474" s="4"/>
      <c r="Q474" s="11">
        <v>0</v>
      </c>
      <c r="R474" s="4"/>
      <c r="S474" s="12"/>
    </row>
    <row r="475" spans="1:19" x14ac:dyDescent="0.25">
      <c r="A475" s="9" t="s">
        <v>150</v>
      </c>
      <c r="B475" s="9" t="s">
        <v>945</v>
      </c>
      <c r="C475" s="4">
        <v>201000831</v>
      </c>
      <c r="D475" s="4"/>
      <c r="E475" s="4" t="str">
        <f>"023432010"</f>
        <v>023432010</v>
      </c>
      <c r="F475" s="10">
        <v>40165</v>
      </c>
      <c r="G475" s="11">
        <v>11437.39</v>
      </c>
      <c r="H475" s="11">
        <v>11437.39</v>
      </c>
      <c r="I475" s="4" t="s">
        <v>54</v>
      </c>
      <c r="J475" s="4" t="s">
        <v>55</v>
      </c>
      <c r="K475" s="11">
        <v>0</v>
      </c>
      <c r="L475" s="4"/>
      <c r="M475" s="4"/>
      <c r="N475" s="11">
        <v>0</v>
      </c>
      <c r="O475" s="4"/>
      <c r="P475" s="4"/>
      <c r="Q475" s="11">
        <v>0</v>
      </c>
      <c r="R475" s="4"/>
      <c r="S475" s="12"/>
    </row>
    <row r="476" spans="1:19" x14ac:dyDescent="0.25">
      <c r="A476" s="9" t="s">
        <v>150</v>
      </c>
      <c r="B476" s="9" t="s">
        <v>150</v>
      </c>
      <c r="C476" s="4">
        <v>201000886</v>
      </c>
      <c r="D476" s="4" t="s">
        <v>1790</v>
      </c>
      <c r="E476" s="4" t="str">
        <f>"016922010"</f>
        <v>016922010</v>
      </c>
      <c r="F476" s="10">
        <v>40149</v>
      </c>
      <c r="G476" s="11">
        <v>14000</v>
      </c>
      <c r="H476" s="11">
        <v>14000</v>
      </c>
      <c r="I476" s="4" t="s">
        <v>366</v>
      </c>
      <c r="J476" s="4" t="s">
        <v>367</v>
      </c>
      <c r="K476" s="11">
        <v>0</v>
      </c>
      <c r="L476" s="4"/>
      <c r="M476" s="4"/>
      <c r="N476" s="11">
        <v>0</v>
      </c>
      <c r="O476" s="4"/>
      <c r="P476" s="4"/>
      <c r="Q476" s="11">
        <v>0</v>
      </c>
      <c r="R476" s="4"/>
      <c r="S476" s="12"/>
    </row>
    <row r="477" spans="1:19" x14ac:dyDescent="0.25">
      <c r="A477" s="9" t="s">
        <v>150</v>
      </c>
      <c r="B477" s="9" t="s">
        <v>150</v>
      </c>
      <c r="C477" s="4">
        <v>201000892</v>
      </c>
      <c r="D477" s="4"/>
      <c r="E477" s="4" t="str">
        <f>"017042010"</f>
        <v>017042010</v>
      </c>
      <c r="F477" s="10">
        <v>40149</v>
      </c>
      <c r="G477" s="11">
        <v>3500</v>
      </c>
      <c r="H477" s="11">
        <v>3500</v>
      </c>
      <c r="I477" s="4" t="s">
        <v>366</v>
      </c>
      <c r="J477" s="4" t="s">
        <v>367</v>
      </c>
      <c r="K477" s="11">
        <v>0</v>
      </c>
      <c r="L477" s="4"/>
      <c r="M477" s="4"/>
      <c r="N477" s="11">
        <v>0</v>
      </c>
      <c r="O477" s="4"/>
      <c r="P477" s="4"/>
      <c r="Q477" s="11">
        <v>0</v>
      </c>
      <c r="R477" s="4"/>
      <c r="S477" s="12"/>
    </row>
    <row r="478" spans="1:19" x14ac:dyDescent="0.25">
      <c r="A478" s="9" t="s">
        <v>150</v>
      </c>
      <c r="B478" s="9" t="s">
        <v>150</v>
      </c>
      <c r="C478" s="4">
        <v>201000932</v>
      </c>
      <c r="D478" s="4"/>
      <c r="E478" s="4" t="str">
        <f>"018752010"</f>
        <v>018752010</v>
      </c>
      <c r="F478" s="10">
        <v>40157</v>
      </c>
      <c r="G478" s="11">
        <v>145.44</v>
      </c>
      <c r="H478" s="11">
        <v>145.44</v>
      </c>
      <c r="I478" s="4" t="s">
        <v>1766</v>
      </c>
      <c r="J478" s="4" t="s">
        <v>1767</v>
      </c>
      <c r="K478" s="11">
        <v>0</v>
      </c>
      <c r="L478" s="4"/>
      <c r="M478" s="4"/>
      <c r="N478" s="11">
        <v>0</v>
      </c>
      <c r="O478" s="4"/>
      <c r="P478" s="4"/>
      <c r="Q478" s="11">
        <v>0</v>
      </c>
      <c r="R478" s="4"/>
      <c r="S478" s="12"/>
    </row>
    <row r="479" spans="1:19" x14ac:dyDescent="0.25">
      <c r="A479" s="9" t="s">
        <v>150</v>
      </c>
      <c r="B479" s="9" t="s">
        <v>150</v>
      </c>
      <c r="C479" s="4">
        <v>201000942</v>
      </c>
      <c r="D479" s="4"/>
      <c r="E479" s="4" t="str">
        <f>"018792010"</f>
        <v>018792010</v>
      </c>
      <c r="F479" s="10">
        <v>40154</v>
      </c>
      <c r="G479" s="11">
        <v>3836.69</v>
      </c>
      <c r="H479" s="11">
        <v>3836.69</v>
      </c>
      <c r="I479" s="4" t="s">
        <v>366</v>
      </c>
      <c r="J479" s="4" t="s">
        <v>367</v>
      </c>
      <c r="K479" s="11">
        <v>0</v>
      </c>
      <c r="L479" s="4"/>
      <c r="M479" s="4"/>
      <c r="N479" s="11">
        <v>0</v>
      </c>
      <c r="O479" s="4"/>
      <c r="P479" s="4"/>
      <c r="Q479" s="11">
        <v>0</v>
      </c>
      <c r="R479" s="4"/>
      <c r="S479" s="12"/>
    </row>
    <row r="480" spans="1:19" x14ac:dyDescent="0.25">
      <c r="A480" s="9" t="s">
        <v>150</v>
      </c>
      <c r="B480" s="9" t="s">
        <v>150</v>
      </c>
      <c r="C480" s="4">
        <v>201000971</v>
      </c>
      <c r="D480" s="4"/>
      <c r="E480" s="4" t="str">
        <f>"020322010"</f>
        <v>020322010</v>
      </c>
      <c r="F480" s="10">
        <v>40157</v>
      </c>
      <c r="G480" s="11">
        <v>5764.06</v>
      </c>
      <c r="H480" s="11">
        <v>5764.06</v>
      </c>
      <c r="I480" s="4" t="s">
        <v>366</v>
      </c>
      <c r="J480" s="4" t="s">
        <v>367</v>
      </c>
      <c r="K480" s="11">
        <v>0</v>
      </c>
      <c r="L480" s="4"/>
      <c r="M480" s="4"/>
      <c r="N480" s="11">
        <v>0</v>
      </c>
      <c r="O480" s="4"/>
      <c r="P480" s="4"/>
      <c r="Q480" s="11">
        <v>0</v>
      </c>
      <c r="R480" s="4"/>
      <c r="S480" s="12"/>
    </row>
    <row r="481" spans="1:19" x14ac:dyDescent="0.25">
      <c r="A481" s="9" t="s">
        <v>150</v>
      </c>
      <c r="B481" s="9" t="s">
        <v>150</v>
      </c>
      <c r="C481" s="4">
        <v>201000972</v>
      </c>
      <c r="D481" s="4"/>
      <c r="E481" s="4" t="str">
        <f>"020042010"</f>
        <v>020042010</v>
      </c>
      <c r="F481" s="10">
        <v>40157</v>
      </c>
      <c r="G481" s="11">
        <v>2582.87</v>
      </c>
      <c r="H481" s="11">
        <v>2582.87</v>
      </c>
      <c r="I481" s="4" t="s">
        <v>366</v>
      </c>
      <c r="J481" s="4" t="s">
        <v>367</v>
      </c>
      <c r="K481" s="11">
        <v>0</v>
      </c>
      <c r="L481" s="4"/>
      <c r="M481" s="4"/>
      <c r="N481" s="11">
        <v>0</v>
      </c>
      <c r="O481" s="4"/>
      <c r="P481" s="4"/>
      <c r="Q481" s="11">
        <v>0</v>
      </c>
      <c r="R481" s="4"/>
      <c r="S481" s="12"/>
    </row>
    <row r="482" spans="1:19" x14ac:dyDescent="0.25">
      <c r="A482" s="9" t="s">
        <v>150</v>
      </c>
      <c r="B482" s="9" t="s">
        <v>150</v>
      </c>
      <c r="C482" s="4">
        <v>201000976</v>
      </c>
      <c r="D482" s="4"/>
      <c r="E482" s="4" t="str">
        <f>"018712010"</f>
        <v>018712010</v>
      </c>
      <c r="F482" s="10">
        <v>40157</v>
      </c>
      <c r="G482" s="11">
        <v>1000</v>
      </c>
      <c r="H482" s="11">
        <v>1000</v>
      </c>
      <c r="I482" s="4" t="s">
        <v>1766</v>
      </c>
      <c r="J482" s="4" t="s">
        <v>1767</v>
      </c>
      <c r="K482" s="11">
        <v>0</v>
      </c>
      <c r="L482" s="4"/>
      <c r="M482" s="4"/>
      <c r="N482" s="11">
        <v>0</v>
      </c>
      <c r="O482" s="4"/>
      <c r="P482" s="4"/>
      <c r="Q482" s="11">
        <v>0</v>
      </c>
      <c r="R482" s="4"/>
      <c r="S482" s="12"/>
    </row>
    <row r="483" spans="1:19" x14ac:dyDescent="0.25">
      <c r="A483" s="9" t="s">
        <v>150</v>
      </c>
      <c r="B483" s="9" t="s">
        <v>150</v>
      </c>
      <c r="C483" s="4">
        <v>201000993</v>
      </c>
      <c r="D483" s="4"/>
      <c r="E483" s="4" t="str">
        <f>"020022010"</f>
        <v>020022010</v>
      </c>
      <c r="F483" s="10">
        <v>40157</v>
      </c>
      <c r="G483" s="11">
        <v>464</v>
      </c>
      <c r="H483" s="11">
        <v>464</v>
      </c>
      <c r="I483" s="4" t="s">
        <v>1766</v>
      </c>
      <c r="J483" s="4" t="s">
        <v>1767</v>
      </c>
      <c r="K483" s="11">
        <v>0</v>
      </c>
      <c r="L483" s="4"/>
      <c r="M483" s="4"/>
      <c r="N483" s="11">
        <v>0</v>
      </c>
      <c r="O483" s="4"/>
      <c r="P483" s="4"/>
      <c r="Q483" s="11">
        <v>0</v>
      </c>
      <c r="R483" s="4"/>
      <c r="S483" s="12"/>
    </row>
    <row r="484" spans="1:19" x14ac:dyDescent="0.25">
      <c r="A484" s="9" t="s">
        <v>150</v>
      </c>
      <c r="B484" s="9" t="s">
        <v>150</v>
      </c>
      <c r="C484" s="4">
        <v>201001035</v>
      </c>
      <c r="D484" s="4"/>
      <c r="E484" s="4" t="str">
        <f>"020142010"</f>
        <v>020142010</v>
      </c>
      <c r="F484" s="10">
        <v>40157</v>
      </c>
      <c r="G484" s="11">
        <v>638.92999999999995</v>
      </c>
      <c r="H484" s="11">
        <v>638.92999999999995</v>
      </c>
      <c r="I484" s="4" t="s">
        <v>1766</v>
      </c>
      <c r="J484" s="4" t="s">
        <v>1767</v>
      </c>
      <c r="K484" s="11">
        <v>0</v>
      </c>
      <c r="L484" s="4"/>
      <c r="M484" s="4"/>
      <c r="N484" s="11">
        <v>0</v>
      </c>
      <c r="O484" s="4"/>
      <c r="P484" s="4"/>
      <c r="Q484" s="11">
        <v>0</v>
      </c>
      <c r="R484" s="4"/>
      <c r="S484" s="12"/>
    </row>
    <row r="485" spans="1:19" x14ac:dyDescent="0.25">
      <c r="A485" s="9" t="s">
        <v>150</v>
      </c>
      <c r="B485" s="9" t="s">
        <v>150</v>
      </c>
      <c r="C485" s="4">
        <v>201001036</v>
      </c>
      <c r="D485" s="4"/>
      <c r="E485" s="4" t="str">
        <f>"020122010"</f>
        <v>020122010</v>
      </c>
      <c r="F485" s="10">
        <v>40157</v>
      </c>
      <c r="G485" s="11">
        <v>354.59</v>
      </c>
      <c r="H485" s="11">
        <v>354.59</v>
      </c>
      <c r="I485" s="4" t="s">
        <v>1766</v>
      </c>
      <c r="J485" s="4" t="s">
        <v>1767</v>
      </c>
      <c r="K485" s="11">
        <v>0</v>
      </c>
      <c r="L485" s="4"/>
      <c r="M485" s="4"/>
      <c r="N485" s="11">
        <v>0</v>
      </c>
      <c r="O485" s="4"/>
      <c r="P485" s="4"/>
      <c r="Q485" s="11">
        <v>0</v>
      </c>
      <c r="R485" s="4"/>
      <c r="S485" s="12"/>
    </row>
    <row r="486" spans="1:19" x14ac:dyDescent="0.25">
      <c r="A486" s="9" t="s">
        <v>150</v>
      </c>
      <c r="B486" s="9" t="s">
        <v>945</v>
      </c>
      <c r="C486" s="4">
        <v>201001092</v>
      </c>
      <c r="D486" s="4" t="s">
        <v>1791</v>
      </c>
      <c r="E486" s="4" t="str">
        <f>"021452010"</f>
        <v>021452010</v>
      </c>
      <c r="F486" s="10">
        <v>40158</v>
      </c>
      <c r="G486" s="11">
        <v>84000</v>
      </c>
      <c r="H486" s="11">
        <v>84000</v>
      </c>
      <c r="I486" s="4" t="s">
        <v>54</v>
      </c>
      <c r="J486" s="4" t="s">
        <v>55</v>
      </c>
      <c r="K486" s="11">
        <v>0</v>
      </c>
      <c r="L486" s="4"/>
      <c r="M486" s="4"/>
      <c r="N486" s="11">
        <v>0</v>
      </c>
      <c r="O486" s="4"/>
      <c r="P486" s="4"/>
      <c r="Q486" s="11">
        <v>0</v>
      </c>
      <c r="R486" s="4"/>
      <c r="S486" s="12"/>
    </row>
    <row r="487" spans="1:19" x14ac:dyDescent="0.25">
      <c r="A487" s="9" t="s">
        <v>150</v>
      </c>
      <c r="B487" s="9" t="s">
        <v>945</v>
      </c>
      <c r="C487" s="4">
        <v>201001182</v>
      </c>
      <c r="D487" s="4" t="s">
        <v>1792</v>
      </c>
      <c r="E487" s="4" t="str">
        <f>"023492010"</f>
        <v>023492010</v>
      </c>
      <c r="F487" s="10">
        <v>40165</v>
      </c>
      <c r="G487" s="11">
        <v>34888.199999999997</v>
      </c>
      <c r="H487" s="11">
        <v>34888.199999999997</v>
      </c>
      <c r="I487" s="4" t="s">
        <v>366</v>
      </c>
      <c r="J487" s="4" t="s">
        <v>367</v>
      </c>
      <c r="K487" s="11">
        <v>0</v>
      </c>
      <c r="L487" s="4"/>
      <c r="M487" s="4"/>
      <c r="N487" s="11">
        <v>0</v>
      </c>
      <c r="O487" s="4"/>
      <c r="P487" s="4"/>
      <c r="Q487" s="11">
        <v>0</v>
      </c>
      <c r="R487" s="4"/>
      <c r="S487" s="12"/>
    </row>
    <row r="488" spans="1:19" x14ac:dyDescent="0.25">
      <c r="A488" s="9" t="s">
        <v>150</v>
      </c>
      <c r="B488" s="9" t="s">
        <v>945</v>
      </c>
      <c r="C488" s="4">
        <v>201001185</v>
      </c>
      <c r="D488" s="4" t="s">
        <v>1793</v>
      </c>
      <c r="E488" s="4" t="str">
        <f>"023032010"</f>
        <v>023032010</v>
      </c>
      <c r="F488" s="10">
        <v>40165</v>
      </c>
      <c r="G488" s="11">
        <v>5500</v>
      </c>
      <c r="H488" s="11">
        <v>5500</v>
      </c>
      <c r="I488" s="4" t="s">
        <v>366</v>
      </c>
      <c r="J488" s="4" t="s">
        <v>367</v>
      </c>
      <c r="K488" s="11">
        <v>0</v>
      </c>
      <c r="L488" s="4"/>
      <c r="M488" s="4"/>
      <c r="N488" s="11">
        <v>0</v>
      </c>
      <c r="O488" s="4"/>
      <c r="P488" s="4"/>
      <c r="Q488" s="11">
        <v>0</v>
      </c>
      <c r="R488" s="4"/>
      <c r="S488" s="12"/>
    </row>
    <row r="489" spans="1:19" x14ac:dyDescent="0.25">
      <c r="A489" s="9" t="s">
        <v>150</v>
      </c>
      <c r="B489" s="9" t="s">
        <v>150</v>
      </c>
      <c r="C489" s="4">
        <v>201001231</v>
      </c>
      <c r="D489" s="4"/>
      <c r="E489" s="4" t="str">
        <f>"024412010"</f>
        <v>024412010</v>
      </c>
      <c r="F489" s="10">
        <v>40177</v>
      </c>
      <c r="G489" s="11">
        <v>4699.6400000000003</v>
      </c>
      <c r="H489" s="11">
        <v>4699.6400000000003</v>
      </c>
      <c r="I489" s="4" t="s">
        <v>366</v>
      </c>
      <c r="J489" s="4" t="s">
        <v>367</v>
      </c>
      <c r="K489" s="11">
        <v>0</v>
      </c>
      <c r="L489" s="4"/>
      <c r="M489" s="4"/>
      <c r="N489" s="11">
        <v>0</v>
      </c>
      <c r="O489" s="4"/>
      <c r="P489" s="4"/>
      <c r="Q489" s="11">
        <v>0</v>
      </c>
      <c r="R489" s="4"/>
      <c r="S489" s="12"/>
    </row>
    <row r="490" spans="1:19" x14ac:dyDescent="0.25">
      <c r="A490" s="9" t="s">
        <v>150</v>
      </c>
      <c r="B490" s="9" t="s">
        <v>150</v>
      </c>
      <c r="C490" s="4">
        <v>201001233</v>
      </c>
      <c r="D490" s="4"/>
      <c r="E490" s="4" t="str">
        <f>"024392010"</f>
        <v>024392010</v>
      </c>
      <c r="F490" s="10">
        <v>40177</v>
      </c>
      <c r="G490" s="11">
        <v>135</v>
      </c>
      <c r="H490" s="11">
        <v>135</v>
      </c>
      <c r="I490" s="4" t="s">
        <v>1766</v>
      </c>
      <c r="J490" s="4" t="s">
        <v>1767</v>
      </c>
      <c r="K490" s="11">
        <v>0</v>
      </c>
      <c r="L490" s="4"/>
      <c r="M490" s="4"/>
      <c r="N490" s="11">
        <v>0</v>
      </c>
      <c r="O490" s="4"/>
      <c r="P490" s="4"/>
      <c r="Q490" s="11">
        <v>0</v>
      </c>
      <c r="R490" s="4"/>
      <c r="S490" s="12"/>
    </row>
    <row r="491" spans="1:19" x14ac:dyDescent="0.25">
      <c r="A491" s="9" t="s">
        <v>150</v>
      </c>
      <c r="B491" s="9" t="s">
        <v>150</v>
      </c>
      <c r="C491" s="4">
        <v>201001311</v>
      </c>
      <c r="D491" s="4"/>
      <c r="E491" s="4" t="str">
        <f>"026052010"</f>
        <v>026052010</v>
      </c>
      <c r="F491" s="10">
        <v>40186</v>
      </c>
      <c r="G491" s="11">
        <v>28.34</v>
      </c>
      <c r="H491" s="11">
        <v>28.34</v>
      </c>
      <c r="I491" s="4" t="s">
        <v>1766</v>
      </c>
      <c r="J491" s="4" t="s">
        <v>1767</v>
      </c>
      <c r="K491" s="11">
        <v>0</v>
      </c>
      <c r="L491" s="4"/>
      <c r="M491" s="4"/>
      <c r="N491" s="11">
        <v>0</v>
      </c>
      <c r="O491" s="4"/>
      <c r="P491" s="4"/>
      <c r="Q491" s="11">
        <v>0</v>
      </c>
      <c r="R491" s="4"/>
      <c r="S491" s="12"/>
    </row>
    <row r="492" spans="1:19" x14ac:dyDescent="0.25">
      <c r="A492" s="9" t="s">
        <v>150</v>
      </c>
      <c r="B492" s="9" t="s">
        <v>150</v>
      </c>
      <c r="C492" s="4">
        <v>201001313</v>
      </c>
      <c r="D492" s="4"/>
      <c r="E492" s="4" t="str">
        <f>"026932010"</f>
        <v>026932010</v>
      </c>
      <c r="F492" s="10">
        <v>40185</v>
      </c>
      <c r="G492" s="11">
        <v>673.79</v>
      </c>
      <c r="H492" s="11">
        <v>673.79</v>
      </c>
      <c r="I492" s="4" t="s">
        <v>1766</v>
      </c>
      <c r="J492" s="4" t="s">
        <v>1767</v>
      </c>
      <c r="K492" s="11">
        <v>0</v>
      </c>
      <c r="L492" s="4"/>
      <c r="M492" s="4"/>
      <c r="N492" s="11">
        <v>0</v>
      </c>
      <c r="O492" s="4"/>
      <c r="P492" s="4"/>
      <c r="Q492" s="11">
        <v>0</v>
      </c>
      <c r="R492" s="4"/>
      <c r="S492" s="12"/>
    </row>
    <row r="493" spans="1:19" x14ac:dyDescent="0.25">
      <c r="A493" s="9" t="s">
        <v>150</v>
      </c>
      <c r="B493" s="9" t="s">
        <v>150</v>
      </c>
      <c r="C493" s="4">
        <v>201001314</v>
      </c>
      <c r="D493" s="4"/>
      <c r="E493" s="4" t="str">
        <f>"027112010"</f>
        <v>027112010</v>
      </c>
      <c r="F493" s="10">
        <v>40186</v>
      </c>
      <c r="G493" s="11">
        <v>372.9</v>
      </c>
      <c r="H493" s="11">
        <v>372.9</v>
      </c>
      <c r="I493" s="4" t="s">
        <v>1766</v>
      </c>
      <c r="J493" s="4" t="s">
        <v>1767</v>
      </c>
      <c r="K493" s="11">
        <v>0</v>
      </c>
      <c r="L493" s="4"/>
      <c r="M493" s="4"/>
      <c r="N493" s="11">
        <v>0</v>
      </c>
      <c r="O493" s="4"/>
      <c r="P493" s="4"/>
      <c r="Q493" s="11">
        <v>0</v>
      </c>
      <c r="R493" s="4"/>
      <c r="S493" s="12"/>
    </row>
    <row r="494" spans="1:19" x14ac:dyDescent="0.25">
      <c r="A494" s="9" t="s">
        <v>150</v>
      </c>
      <c r="B494" s="9" t="s">
        <v>150</v>
      </c>
      <c r="C494" s="4">
        <v>201001315</v>
      </c>
      <c r="D494" s="4"/>
      <c r="E494" s="4" t="str">
        <f>"026972010"</f>
        <v>026972010</v>
      </c>
      <c r="F494" s="10">
        <v>40186</v>
      </c>
      <c r="G494" s="11">
        <v>83.1</v>
      </c>
      <c r="H494" s="11">
        <v>83.1</v>
      </c>
      <c r="I494" s="4" t="s">
        <v>1766</v>
      </c>
      <c r="J494" s="4" t="s">
        <v>1767</v>
      </c>
      <c r="K494" s="11">
        <v>0</v>
      </c>
      <c r="L494" s="4"/>
      <c r="M494" s="4"/>
      <c r="N494" s="11">
        <v>0</v>
      </c>
      <c r="O494" s="4"/>
      <c r="P494" s="4"/>
      <c r="Q494" s="11">
        <v>0</v>
      </c>
      <c r="R494" s="4"/>
      <c r="S494" s="12"/>
    </row>
    <row r="495" spans="1:19" x14ac:dyDescent="0.25">
      <c r="A495" s="9" t="s">
        <v>150</v>
      </c>
      <c r="B495" s="9" t="s">
        <v>150</v>
      </c>
      <c r="C495" s="4">
        <v>201001316</v>
      </c>
      <c r="D495" s="4"/>
      <c r="E495" s="4" t="str">
        <f>"027982010"</f>
        <v>027982010</v>
      </c>
      <c r="F495" s="10">
        <v>40186</v>
      </c>
      <c r="G495" s="11">
        <v>262.49</v>
      </c>
      <c r="H495" s="11">
        <v>262.49</v>
      </c>
      <c r="I495" s="4" t="s">
        <v>1766</v>
      </c>
      <c r="J495" s="4" t="s">
        <v>1767</v>
      </c>
      <c r="K495" s="11">
        <v>0</v>
      </c>
      <c r="L495" s="4"/>
      <c r="M495" s="4"/>
      <c r="N495" s="11">
        <v>0</v>
      </c>
      <c r="O495" s="4"/>
      <c r="P495" s="4"/>
      <c r="Q495" s="11">
        <v>0</v>
      </c>
      <c r="R495" s="4"/>
      <c r="S495" s="12"/>
    </row>
    <row r="496" spans="1:19" x14ac:dyDescent="0.25">
      <c r="A496" s="9" t="s">
        <v>150</v>
      </c>
      <c r="B496" s="9" t="s">
        <v>150</v>
      </c>
      <c r="C496" s="4">
        <v>201001317</v>
      </c>
      <c r="D496" s="4"/>
      <c r="E496" s="4" t="str">
        <f>"026892010"</f>
        <v>026892010</v>
      </c>
      <c r="F496" s="10">
        <v>40186</v>
      </c>
      <c r="G496" s="11">
        <v>534.95000000000005</v>
      </c>
      <c r="H496" s="11">
        <v>534.95000000000005</v>
      </c>
      <c r="I496" s="4" t="s">
        <v>1766</v>
      </c>
      <c r="J496" s="4" t="s">
        <v>1767</v>
      </c>
      <c r="K496" s="11">
        <v>0</v>
      </c>
      <c r="L496" s="4"/>
      <c r="M496" s="4"/>
      <c r="N496" s="11">
        <v>0</v>
      </c>
      <c r="O496" s="4"/>
      <c r="P496" s="4"/>
      <c r="Q496" s="11">
        <v>0</v>
      </c>
      <c r="R496" s="4"/>
      <c r="S496" s="12"/>
    </row>
    <row r="497" spans="1:19" x14ac:dyDescent="0.25">
      <c r="A497" s="9" t="s">
        <v>150</v>
      </c>
      <c r="B497" s="9" t="s">
        <v>150</v>
      </c>
      <c r="C497" s="4">
        <v>201001319</v>
      </c>
      <c r="D497" s="4"/>
      <c r="E497" s="4" t="str">
        <f>"026912010"</f>
        <v>026912010</v>
      </c>
      <c r="F497" s="10">
        <v>40185</v>
      </c>
      <c r="G497" s="11">
        <v>500</v>
      </c>
      <c r="H497" s="11">
        <v>500</v>
      </c>
      <c r="I497" s="4" t="s">
        <v>1766</v>
      </c>
      <c r="J497" s="4" t="s">
        <v>1767</v>
      </c>
      <c r="K497" s="11">
        <v>0</v>
      </c>
      <c r="L497" s="4"/>
      <c r="M497" s="4"/>
      <c r="N497" s="11">
        <v>0</v>
      </c>
      <c r="O497" s="4"/>
      <c r="P497" s="4"/>
      <c r="Q497" s="11">
        <v>0</v>
      </c>
      <c r="R497" s="4"/>
      <c r="S497" s="12"/>
    </row>
    <row r="498" spans="1:19" x14ac:dyDescent="0.25">
      <c r="A498" s="9" t="s">
        <v>150</v>
      </c>
      <c r="B498" s="9" t="s">
        <v>150</v>
      </c>
      <c r="C498" s="4">
        <v>201001352</v>
      </c>
      <c r="D498" s="4" t="s">
        <v>1794</v>
      </c>
      <c r="E498" s="4" t="str">
        <f>"028122010"</f>
        <v>028122010</v>
      </c>
      <c r="F498" s="10">
        <v>40186</v>
      </c>
      <c r="G498" s="11">
        <v>3600</v>
      </c>
      <c r="H498" s="11">
        <v>3600</v>
      </c>
      <c r="I498" s="4" t="s">
        <v>366</v>
      </c>
      <c r="J498" s="4" t="s">
        <v>367</v>
      </c>
      <c r="K498" s="11">
        <v>0</v>
      </c>
      <c r="L498" s="4"/>
      <c r="M498" s="4"/>
      <c r="N498" s="11">
        <v>0</v>
      </c>
      <c r="O498" s="4"/>
      <c r="P498" s="4"/>
      <c r="Q498" s="11">
        <v>0</v>
      </c>
      <c r="R498" s="4"/>
      <c r="S498" s="12"/>
    </row>
    <row r="499" spans="1:19" x14ac:dyDescent="0.25">
      <c r="A499" s="9" t="s">
        <v>150</v>
      </c>
      <c r="B499" s="9" t="s">
        <v>150</v>
      </c>
      <c r="C499" s="4">
        <v>201001545</v>
      </c>
      <c r="D499" s="4"/>
      <c r="E499" s="4" t="str">
        <f>"030412010"</f>
        <v>030412010</v>
      </c>
      <c r="F499" s="10">
        <v>40192</v>
      </c>
      <c r="G499" s="11">
        <v>4243.09</v>
      </c>
      <c r="H499" s="11">
        <v>4243.09</v>
      </c>
      <c r="I499" s="4" t="s">
        <v>366</v>
      </c>
      <c r="J499" s="4" t="s">
        <v>367</v>
      </c>
      <c r="K499" s="11">
        <v>0</v>
      </c>
      <c r="L499" s="4"/>
      <c r="M499" s="4"/>
      <c r="N499" s="11">
        <v>0</v>
      </c>
      <c r="O499" s="4"/>
      <c r="P499" s="4"/>
      <c r="Q499" s="11">
        <v>0</v>
      </c>
      <c r="R499" s="4"/>
      <c r="S499" s="12"/>
    </row>
    <row r="500" spans="1:19" x14ac:dyDescent="0.25">
      <c r="A500" s="9" t="s">
        <v>150</v>
      </c>
      <c r="B500" s="9" t="s">
        <v>150</v>
      </c>
      <c r="C500" s="4">
        <v>201001547</v>
      </c>
      <c r="D500" s="4"/>
      <c r="E500" s="4" t="str">
        <f>"030092010"</f>
        <v>030092010</v>
      </c>
      <c r="F500" s="10">
        <v>40197</v>
      </c>
      <c r="G500" s="11">
        <v>1000</v>
      </c>
      <c r="H500" s="11">
        <v>1000</v>
      </c>
      <c r="I500" s="4" t="s">
        <v>1766</v>
      </c>
      <c r="J500" s="4" t="s">
        <v>1767</v>
      </c>
      <c r="K500" s="11">
        <v>0</v>
      </c>
      <c r="L500" s="4"/>
      <c r="M500" s="4"/>
      <c r="N500" s="11">
        <v>0</v>
      </c>
      <c r="O500" s="4"/>
      <c r="P500" s="4"/>
      <c r="Q500" s="11">
        <v>0</v>
      </c>
      <c r="R500" s="4"/>
      <c r="S500" s="12"/>
    </row>
    <row r="501" spans="1:19" x14ac:dyDescent="0.25">
      <c r="A501" s="9" t="s">
        <v>150</v>
      </c>
      <c r="B501" s="9" t="s">
        <v>150</v>
      </c>
      <c r="C501" s="4">
        <v>201001628</v>
      </c>
      <c r="D501" s="4"/>
      <c r="E501" s="4" t="str">
        <f>"032982010"</f>
        <v>032982010</v>
      </c>
      <c r="F501" s="10">
        <v>40205</v>
      </c>
      <c r="G501" s="11">
        <v>79.25</v>
      </c>
      <c r="H501" s="11">
        <v>79.25</v>
      </c>
      <c r="I501" s="4" t="s">
        <v>1766</v>
      </c>
      <c r="J501" s="4" t="s">
        <v>1767</v>
      </c>
      <c r="K501" s="11">
        <v>0</v>
      </c>
      <c r="L501" s="4"/>
      <c r="M501" s="4"/>
      <c r="N501" s="11">
        <v>0</v>
      </c>
      <c r="O501" s="4"/>
      <c r="P501" s="4"/>
      <c r="Q501" s="11">
        <v>0</v>
      </c>
      <c r="R501" s="4"/>
      <c r="S501" s="12"/>
    </row>
    <row r="502" spans="1:19" x14ac:dyDescent="0.25">
      <c r="A502" s="9" t="s">
        <v>150</v>
      </c>
      <c r="B502" s="9" t="s">
        <v>150</v>
      </c>
      <c r="C502" s="4">
        <v>201001629</v>
      </c>
      <c r="D502" s="4"/>
      <c r="E502" s="4" t="str">
        <f>"032182010"</f>
        <v>032182010</v>
      </c>
      <c r="F502" s="10">
        <v>40200</v>
      </c>
      <c r="G502" s="11">
        <v>76.069999999999993</v>
      </c>
      <c r="H502" s="11">
        <v>76.069999999999993</v>
      </c>
      <c r="I502" s="4" t="s">
        <v>1766</v>
      </c>
      <c r="J502" s="4" t="s">
        <v>1767</v>
      </c>
      <c r="K502" s="11">
        <v>0</v>
      </c>
      <c r="L502" s="4"/>
      <c r="M502" s="4"/>
      <c r="N502" s="11">
        <v>0</v>
      </c>
      <c r="O502" s="4"/>
      <c r="P502" s="4"/>
      <c r="Q502" s="11">
        <v>0</v>
      </c>
      <c r="R502" s="4"/>
      <c r="S502" s="12"/>
    </row>
    <row r="503" spans="1:19" x14ac:dyDescent="0.25">
      <c r="A503" s="9" t="s">
        <v>150</v>
      </c>
      <c r="B503" s="9" t="s">
        <v>150</v>
      </c>
      <c r="C503" s="4">
        <v>201001630</v>
      </c>
      <c r="D503" s="4"/>
      <c r="E503" s="4" t="str">
        <f>"032562010"</f>
        <v>032562010</v>
      </c>
      <c r="F503" s="10">
        <v>40200</v>
      </c>
      <c r="G503" s="11">
        <v>8603.33</v>
      </c>
      <c r="H503" s="11">
        <v>8603.33</v>
      </c>
      <c r="I503" s="4" t="s">
        <v>366</v>
      </c>
      <c r="J503" s="4" t="s">
        <v>367</v>
      </c>
      <c r="K503" s="11">
        <v>0</v>
      </c>
      <c r="L503" s="4"/>
      <c r="M503" s="4"/>
      <c r="N503" s="11">
        <v>0</v>
      </c>
      <c r="O503" s="4"/>
      <c r="P503" s="4"/>
      <c r="Q503" s="11">
        <v>0</v>
      </c>
      <c r="R503" s="4"/>
      <c r="S503" s="12"/>
    </row>
    <row r="504" spans="1:19" x14ac:dyDescent="0.25">
      <c r="A504" s="9" t="s">
        <v>150</v>
      </c>
      <c r="B504" s="9" t="s">
        <v>945</v>
      </c>
      <c r="C504" s="4">
        <v>201001656</v>
      </c>
      <c r="D504" s="4" t="s">
        <v>1795</v>
      </c>
      <c r="E504" s="4" t="str">
        <f>"031782010"</f>
        <v>031782010</v>
      </c>
      <c r="F504" s="10">
        <v>40199</v>
      </c>
      <c r="G504" s="11">
        <v>9500</v>
      </c>
      <c r="H504" s="11">
        <v>9500</v>
      </c>
      <c r="I504" s="4" t="s">
        <v>366</v>
      </c>
      <c r="J504" s="4" t="s">
        <v>367</v>
      </c>
      <c r="K504" s="11">
        <v>0</v>
      </c>
      <c r="L504" s="4"/>
      <c r="M504" s="4"/>
      <c r="N504" s="11">
        <v>0</v>
      </c>
      <c r="O504" s="4"/>
      <c r="P504" s="4"/>
      <c r="Q504" s="11">
        <v>0</v>
      </c>
      <c r="R504" s="4"/>
      <c r="S504" s="12"/>
    </row>
    <row r="505" spans="1:19" x14ac:dyDescent="0.25">
      <c r="A505" s="9" t="s">
        <v>150</v>
      </c>
      <c r="B505" s="9" t="s">
        <v>945</v>
      </c>
      <c r="C505" s="4">
        <v>201001693</v>
      </c>
      <c r="D505" s="4" t="s">
        <v>1796</v>
      </c>
      <c r="E505" s="4" t="str">
        <f>"033282010"</f>
        <v>033282010</v>
      </c>
      <c r="F505" s="10">
        <v>40203</v>
      </c>
      <c r="G505" s="11">
        <v>14600</v>
      </c>
      <c r="H505" s="11">
        <v>14600</v>
      </c>
      <c r="I505" s="4" t="s">
        <v>366</v>
      </c>
      <c r="J505" s="4" t="s">
        <v>367</v>
      </c>
      <c r="K505" s="11">
        <v>0</v>
      </c>
      <c r="L505" s="4"/>
      <c r="M505" s="4"/>
      <c r="N505" s="11">
        <v>0</v>
      </c>
      <c r="O505" s="4"/>
      <c r="P505" s="4"/>
      <c r="Q505" s="11">
        <v>0</v>
      </c>
      <c r="R505" s="4"/>
      <c r="S505" s="12"/>
    </row>
    <row r="506" spans="1:19" x14ac:dyDescent="0.25">
      <c r="A506" s="9" t="s">
        <v>150</v>
      </c>
      <c r="B506" s="9" t="s">
        <v>150</v>
      </c>
      <c r="C506" s="4">
        <v>201001736</v>
      </c>
      <c r="D506" s="4"/>
      <c r="E506" s="4" t="str">
        <f>"036802010"</f>
        <v>036802010</v>
      </c>
      <c r="F506" s="10">
        <v>40213</v>
      </c>
      <c r="G506" s="11">
        <v>1000</v>
      </c>
      <c r="H506" s="11">
        <v>1000</v>
      </c>
      <c r="I506" s="4" t="s">
        <v>1766</v>
      </c>
      <c r="J506" s="4" t="s">
        <v>1767</v>
      </c>
      <c r="K506" s="11">
        <v>0</v>
      </c>
      <c r="L506" s="4"/>
      <c r="M506" s="4"/>
      <c r="N506" s="11">
        <v>0</v>
      </c>
      <c r="O506" s="4"/>
      <c r="P506" s="4"/>
      <c r="Q506" s="11">
        <v>0</v>
      </c>
      <c r="R506" s="4"/>
      <c r="S506" s="12"/>
    </row>
    <row r="507" spans="1:19" x14ac:dyDescent="0.25">
      <c r="A507" s="9" t="s">
        <v>150</v>
      </c>
      <c r="B507" s="9" t="s">
        <v>150</v>
      </c>
      <c r="C507" s="4">
        <v>201001737</v>
      </c>
      <c r="D507" s="4"/>
      <c r="E507" s="4" t="str">
        <f>"036762010"</f>
        <v>036762010</v>
      </c>
      <c r="F507" s="10">
        <v>40213</v>
      </c>
      <c r="G507" s="11">
        <v>100</v>
      </c>
      <c r="H507" s="11">
        <v>100</v>
      </c>
      <c r="I507" s="4" t="s">
        <v>1766</v>
      </c>
      <c r="J507" s="4" t="s">
        <v>1767</v>
      </c>
      <c r="K507" s="11">
        <v>0</v>
      </c>
      <c r="L507" s="4"/>
      <c r="M507" s="4"/>
      <c r="N507" s="11">
        <v>0</v>
      </c>
      <c r="O507" s="4"/>
      <c r="P507" s="4"/>
      <c r="Q507" s="11">
        <v>0</v>
      </c>
      <c r="R507" s="4"/>
      <c r="S507" s="12"/>
    </row>
    <row r="508" spans="1:19" x14ac:dyDescent="0.25">
      <c r="A508" s="9" t="s">
        <v>150</v>
      </c>
      <c r="B508" s="9" t="s">
        <v>150</v>
      </c>
      <c r="C508" s="4">
        <v>201001749</v>
      </c>
      <c r="D508" s="4"/>
      <c r="E508" s="4" t="str">
        <f>"036742010"</f>
        <v>036742010</v>
      </c>
      <c r="F508" s="10">
        <v>40213</v>
      </c>
      <c r="G508" s="11">
        <v>105.66</v>
      </c>
      <c r="H508" s="11">
        <v>105.66</v>
      </c>
      <c r="I508" s="4" t="s">
        <v>1766</v>
      </c>
      <c r="J508" s="4" t="s">
        <v>1767</v>
      </c>
      <c r="K508" s="11">
        <v>0</v>
      </c>
      <c r="L508" s="4"/>
      <c r="M508" s="4"/>
      <c r="N508" s="11">
        <v>0</v>
      </c>
      <c r="O508" s="4"/>
      <c r="P508" s="4"/>
      <c r="Q508" s="11">
        <v>0</v>
      </c>
      <c r="R508" s="4"/>
      <c r="S508" s="12"/>
    </row>
    <row r="509" spans="1:19" x14ac:dyDescent="0.25">
      <c r="A509" s="9" t="s">
        <v>150</v>
      </c>
      <c r="B509" s="9" t="s">
        <v>150</v>
      </c>
      <c r="C509" s="4">
        <v>201001760</v>
      </c>
      <c r="D509" s="4"/>
      <c r="E509" s="4" t="str">
        <f>"038502010"</f>
        <v>038502010</v>
      </c>
      <c r="F509" s="10">
        <v>40227</v>
      </c>
      <c r="G509" s="11">
        <v>2785.47</v>
      </c>
      <c r="H509" s="11">
        <v>2785.47</v>
      </c>
      <c r="I509" s="4" t="s">
        <v>366</v>
      </c>
      <c r="J509" s="4" t="s">
        <v>367</v>
      </c>
      <c r="K509" s="11">
        <v>0</v>
      </c>
      <c r="L509" s="4"/>
      <c r="M509" s="4"/>
      <c r="N509" s="11">
        <v>0</v>
      </c>
      <c r="O509" s="4"/>
      <c r="P509" s="4"/>
      <c r="Q509" s="11">
        <v>0</v>
      </c>
      <c r="R509" s="4"/>
      <c r="S509" s="12"/>
    </row>
    <row r="510" spans="1:19" x14ac:dyDescent="0.25">
      <c r="A510" s="9" t="s">
        <v>150</v>
      </c>
      <c r="B510" s="9" t="s">
        <v>150</v>
      </c>
      <c r="C510" s="4">
        <v>201001761</v>
      </c>
      <c r="D510" s="4"/>
      <c r="E510" s="4" t="str">
        <f>"038152010"</f>
        <v>038152010</v>
      </c>
      <c r="F510" s="10">
        <v>40227</v>
      </c>
      <c r="G510" s="11">
        <v>227.54</v>
      </c>
      <c r="H510" s="11">
        <v>227.54</v>
      </c>
      <c r="I510" s="4" t="s">
        <v>1766</v>
      </c>
      <c r="J510" s="4" t="s">
        <v>1767</v>
      </c>
      <c r="K510" s="11">
        <v>0</v>
      </c>
      <c r="L510" s="4"/>
      <c r="M510" s="4"/>
      <c r="N510" s="11">
        <v>0</v>
      </c>
      <c r="O510" s="4"/>
      <c r="P510" s="4"/>
      <c r="Q510" s="11">
        <v>0</v>
      </c>
      <c r="R510" s="4"/>
      <c r="S510" s="12"/>
    </row>
    <row r="511" spans="1:19" x14ac:dyDescent="0.25">
      <c r="A511" s="9" t="s">
        <v>150</v>
      </c>
      <c r="B511" s="9" t="s">
        <v>150</v>
      </c>
      <c r="C511" s="4">
        <v>201001795</v>
      </c>
      <c r="D511" s="4" t="s">
        <v>1797</v>
      </c>
      <c r="E511" s="4" t="str">
        <f>"034732010"</f>
        <v>034732010</v>
      </c>
      <c r="F511" s="10">
        <v>40212</v>
      </c>
      <c r="G511" s="11">
        <v>5750</v>
      </c>
      <c r="H511" s="11">
        <v>5750</v>
      </c>
      <c r="I511" s="4" t="s">
        <v>366</v>
      </c>
      <c r="J511" s="4" t="s">
        <v>367</v>
      </c>
      <c r="K511" s="11">
        <v>0</v>
      </c>
      <c r="L511" s="4"/>
      <c r="M511" s="4"/>
      <c r="N511" s="11">
        <v>0</v>
      </c>
      <c r="O511" s="4"/>
      <c r="P511" s="4"/>
      <c r="Q511" s="11">
        <v>0</v>
      </c>
      <c r="R511" s="4"/>
      <c r="S511" s="12"/>
    </row>
    <row r="512" spans="1:19" x14ac:dyDescent="0.25">
      <c r="A512" s="9" t="s">
        <v>150</v>
      </c>
      <c r="B512" s="9" t="s">
        <v>150</v>
      </c>
      <c r="C512" s="4">
        <v>201001878</v>
      </c>
      <c r="D512" s="4"/>
      <c r="E512" s="4" t="str">
        <f>"037642010"</f>
        <v>037642010</v>
      </c>
      <c r="F512" s="10">
        <v>40226</v>
      </c>
      <c r="G512" s="11">
        <v>110.33</v>
      </c>
      <c r="H512" s="11">
        <v>110.33</v>
      </c>
      <c r="I512" s="4" t="s">
        <v>1766</v>
      </c>
      <c r="J512" s="4" t="s">
        <v>1767</v>
      </c>
      <c r="K512" s="11">
        <v>0</v>
      </c>
      <c r="L512" s="4"/>
      <c r="M512" s="4"/>
      <c r="N512" s="11">
        <v>0</v>
      </c>
      <c r="O512" s="4"/>
      <c r="P512" s="4"/>
      <c r="Q512" s="11">
        <v>0</v>
      </c>
      <c r="R512" s="4"/>
      <c r="S512" s="12"/>
    </row>
    <row r="513" spans="1:19" x14ac:dyDescent="0.25">
      <c r="A513" s="9" t="s">
        <v>150</v>
      </c>
      <c r="B513" s="9" t="s">
        <v>150</v>
      </c>
      <c r="C513" s="4">
        <v>201001917</v>
      </c>
      <c r="D513" s="4"/>
      <c r="E513" s="4" t="str">
        <f>"049942010"</f>
        <v>049942010</v>
      </c>
      <c r="F513" s="10">
        <v>40262</v>
      </c>
      <c r="G513" s="11">
        <v>1000</v>
      </c>
      <c r="H513" s="11">
        <v>1000</v>
      </c>
      <c r="I513" s="4" t="s">
        <v>1766</v>
      </c>
      <c r="J513" s="4" t="s">
        <v>1767</v>
      </c>
      <c r="K513" s="11">
        <v>0</v>
      </c>
      <c r="L513" s="4"/>
      <c r="M513" s="4"/>
      <c r="N513" s="11">
        <v>0</v>
      </c>
      <c r="O513" s="4"/>
      <c r="P513" s="4"/>
      <c r="Q513" s="11">
        <v>0</v>
      </c>
      <c r="R513" s="4"/>
      <c r="S513" s="12"/>
    </row>
    <row r="514" spans="1:19" x14ac:dyDescent="0.25">
      <c r="A514" s="9" t="s">
        <v>150</v>
      </c>
      <c r="B514" s="9" t="s">
        <v>150</v>
      </c>
      <c r="C514" s="4">
        <v>201001918</v>
      </c>
      <c r="D514" s="4"/>
      <c r="E514" s="4" t="str">
        <f>"038542010"</f>
        <v>038542010</v>
      </c>
      <c r="F514" s="10">
        <v>40227</v>
      </c>
      <c r="G514" s="11">
        <v>322.52999999999997</v>
      </c>
      <c r="H514" s="11">
        <v>322.52999999999997</v>
      </c>
      <c r="I514" s="4" t="s">
        <v>1766</v>
      </c>
      <c r="J514" s="4" t="s">
        <v>1767</v>
      </c>
      <c r="K514" s="11">
        <v>0</v>
      </c>
      <c r="L514" s="4"/>
      <c r="M514" s="4"/>
      <c r="N514" s="11">
        <v>0</v>
      </c>
      <c r="O514" s="4"/>
      <c r="P514" s="4"/>
      <c r="Q514" s="11">
        <v>0</v>
      </c>
      <c r="R514" s="4"/>
      <c r="S514" s="12"/>
    </row>
    <row r="515" spans="1:19" x14ac:dyDescent="0.25">
      <c r="A515" s="9" t="s">
        <v>150</v>
      </c>
      <c r="B515" s="9" t="s">
        <v>150</v>
      </c>
      <c r="C515" s="4">
        <v>201001940</v>
      </c>
      <c r="D515" s="4"/>
      <c r="E515" s="4" t="str">
        <f>"038602010"</f>
        <v>038602010</v>
      </c>
      <c r="F515" s="10">
        <v>40227</v>
      </c>
      <c r="G515" s="11">
        <v>5364.16</v>
      </c>
      <c r="H515" s="11">
        <v>5364.16</v>
      </c>
      <c r="I515" s="4" t="s">
        <v>366</v>
      </c>
      <c r="J515" s="4" t="s">
        <v>367</v>
      </c>
      <c r="K515" s="11">
        <v>0</v>
      </c>
      <c r="L515" s="4"/>
      <c r="M515" s="4"/>
      <c r="N515" s="11">
        <v>0</v>
      </c>
      <c r="O515" s="4"/>
      <c r="P515" s="4"/>
      <c r="Q515" s="11">
        <v>0</v>
      </c>
      <c r="R515" s="4"/>
      <c r="S515" s="12"/>
    </row>
    <row r="516" spans="1:19" x14ac:dyDescent="0.25">
      <c r="A516" s="9" t="s">
        <v>150</v>
      </c>
      <c r="B516" s="9" t="s">
        <v>150</v>
      </c>
      <c r="C516" s="4">
        <v>201001947</v>
      </c>
      <c r="D516" s="4"/>
      <c r="E516" s="4" t="str">
        <f>"038622010"</f>
        <v>038622010</v>
      </c>
      <c r="F516" s="10">
        <v>40227</v>
      </c>
      <c r="G516" s="11">
        <v>370</v>
      </c>
      <c r="H516" s="11">
        <v>370</v>
      </c>
      <c r="I516" s="4" t="s">
        <v>1766</v>
      </c>
      <c r="J516" s="4" t="s">
        <v>1767</v>
      </c>
      <c r="K516" s="11">
        <v>0</v>
      </c>
      <c r="L516" s="4"/>
      <c r="M516" s="4"/>
      <c r="N516" s="11">
        <v>0</v>
      </c>
      <c r="O516" s="4"/>
      <c r="P516" s="4"/>
      <c r="Q516" s="11">
        <v>0</v>
      </c>
      <c r="R516" s="4"/>
      <c r="S516" s="12"/>
    </row>
    <row r="517" spans="1:19" x14ac:dyDescent="0.25">
      <c r="A517" s="9" t="s">
        <v>150</v>
      </c>
      <c r="B517" s="9" t="s">
        <v>150</v>
      </c>
      <c r="C517" s="4">
        <v>201001957</v>
      </c>
      <c r="D517" s="4"/>
      <c r="E517" s="4" t="str">
        <f>"038822010"</f>
        <v>038822010</v>
      </c>
      <c r="F517" s="10">
        <v>40228</v>
      </c>
      <c r="G517" s="11">
        <v>133.46</v>
      </c>
      <c r="H517" s="11">
        <v>133.46</v>
      </c>
      <c r="I517" s="4" t="s">
        <v>1766</v>
      </c>
      <c r="J517" s="4" t="s">
        <v>1767</v>
      </c>
      <c r="K517" s="11">
        <v>0</v>
      </c>
      <c r="L517" s="4"/>
      <c r="M517" s="4"/>
      <c r="N517" s="11">
        <v>0</v>
      </c>
      <c r="O517" s="4"/>
      <c r="P517" s="4"/>
      <c r="Q517" s="11">
        <v>0</v>
      </c>
      <c r="R517" s="4"/>
      <c r="S517" s="12"/>
    </row>
    <row r="518" spans="1:19" x14ac:dyDescent="0.25">
      <c r="A518" s="9" t="s">
        <v>150</v>
      </c>
      <c r="B518" s="9" t="s">
        <v>150</v>
      </c>
      <c r="C518" s="4">
        <v>201001958</v>
      </c>
      <c r="D518" s="4"/>
      <c r="E518" s="4" t="str">
        <f>"038802010"</f>
        <v>038802010</v>
      </c>
      <c r="F518" s="10">
        <v>40228</v>
      </c>
      <c r="G518" s="11">
        <v>7687.58</v>
      </c>
      <c r="H518" s="11">
        <v>7687.58</v>
      </c>
      <c r="I518" s="4" t="s">
        <v>366</v>
      </c>
      <c r="J518" s="4" t="s">
        <v>367</v>
      </c>
      <c r="K518" s="11">
        <v>0</v>
      </c>
      <c r="L518" s="4"/>
      <c r="M518" s="4"/>
      <c r="N518" s="11">
        <v>0</v>
      </c>
      <c r="O518" s="4"/>
      <c r="P518" s="4"/>
      <c r="Q518" s="11">
        <v>0</v>
      </c>
      <c r="R518" s="4"/>
      <c r="S518" s="12"/>
    </row>
    <row r="519" spans="1:19" x14ac:dyDescent="0.25">
      <c r="A519" s="9" t="s">
        <v>150</v>
      </c>
      <c r="B519" s="9" t="s">
        <v>150</v>
      </c>
      <c r="C519" s="4">
        <v>201001959</v>
      </c>
      <c r="D519" s="4"/>
      <c r="E519" s="4" t="str">
        <f>"038642010"</f>
        <v>038642010</v>
      </c>
      <c r="F519" s="10">
        <v>40227</v>
      </c>
      <c r="G519" s="11">
        <v>78.239999999999995</v>
      </c>
      <c r="H519" s="11">
        <v>78.239999999999995</v>
      </c>
      <c r="I519" s="4" t="s">
        <v>1766</v>
      </c>
      <c r="J519" s="4" t="s">
        <v>1767</v>
      </c>
      <c r="K519" s="11">
        <v>0</v>
      </c>
      <c r="L519" s="4"/>
      <c r="M519" s="4"/>
      <c r="N519" s="11">
        <v>0</v>
      </c>
      <c r="O519" s="4"/>
      <c r="P519" s="4"/>
      <c r="Q519" s="11">
        <v>0</v>
      </c>
      <c r="R519" s="4"/>
      <c r="S519" s="12"/>
    </row>
    <row r="520" spans="1:19" x14ac:dyDescent="0.25">
      <c r="A520" s="9" t="s">
        <v>150</v>
      </c>
      <c r="B520" s="9" t="s">
        <v>150</v>
      </c>
      <c r="C520" s="4">
        <v>201001976</v>
      </c>
      <c r="D520" s="4"/>
      <c r="E520" s="4" t="str">
        <f>"039982010"</f>
        <v>039982010</v>
      </c>
      <c r="F520" s="10">
        <v>40232</v>
      </c>
      <c r="G520" s="11">
        <v>137</v>
      </c>
      <c r="H520" s="11">
        <v>137</v>
      </c>
      <c r="I520" s="4" t="s">
        <v>1766</v>
      </c>
      <c r="J520" s="4" t="s">
        <v>1767</v>
      </c>
      <c r="K520" s="11">
        <v>0</v>
      </c>
      <c r="L520" s="4"/>
      <c r="M520" s="4"/>
      <c r="N520" s="11">
        <v>0</v>
      </c>
      <c r="O520" s="4"/>
      <c r="P520" s="4"/>
      <c r="Q520" s="11">
        <v>0</v>
      </c>
      <c r="R520" s="4"/>
      <c r="S520" s="12"/>
    </row>
    <row r="521" spans="1:19" x14ac:dyDescent="0.25">
      <c r="A521" s="9" t="s">
        <v>150</v>
      </c>
      <c r="B521" s="9" t="s">
        <v>150</v>
      </c>
      <c r="C521" s="4">
        <v>201001977</v>
      </c>
      <c r="D521" s="4"/>
      <c r="E521" s="4" t="str">
        <f>"040302010"</f>
        <v>040302010</v>
      </c>
      <c r="F521" s="10">
        <v>40232</v>
      </c>
      <c r="G521" s="11">
        <v>623.39</v>
      </c>
      <c r="H521" s="11">
        <v>623.39</v>
      </c>
      <c r="I521" s="4" t="s">
        <v>1766</v>
      </c>
      <c r="J521" s="4" t="s">
        <v>1767</v>
      </c>
      <c r="K521" s="11">
        <v>0</v>
      </c>
      <c r="L521" s="4"/>
      <c r="M521" s="4"/>
      <c r="N521" s="11">
        <v>0</v>
      </c>
      <c r="O521" s="4"/>
      <c r="P521" s="4"/>
      <c r="Q521" s="11">
        <v>0</v>
      </c>
      <c r="R521" s="4"/>
      <c r="S521" s="12"/>
    </row>
    <row r="522" spans="1:19" x14ac:dyDescent="0.25">
      <c r="A522" s="9" t="s">
        <v>150</v>
      </c>
      <c r="B522" s="9" t="s">
        <v>150</v>
      </c>
      <c r="C522" s="4">
        <v>201001978</v>
      </c>
      <c r="D522" s="4"/>
      <c r="E522" s="4" t="str">
        <f>"046972010"</f>
        <v>046972010</v>
      </c>
      <c r="F522" s="10">
        <v>40253</v>
      </c>
      <c r="G522" s="11">
        <v>118</v>
      </c>
      <c r="H522" s="11">
        <v>118</v>
      </c>
      <c r="I522" s="4" t="s">
        <v>1766</v>
      </c>
      <c r="J522" s="4" t="s">
        <v>1767</v>
      </c>
      <c r="K522" s="11">
        <v>0</v>
      </c>
      <c r="L522" s="4"/>
      <c r="M522" s="4"/>
      <c r="N522" s="11">
        <v>0</v>
      </c>
      <c r="O522" s="4"/>
      <c r="P522" s="4"/>
      <c r="Q522" s="11">
        <v>0</v>
      </c>
      <c r="R522" s="4"/>
      <c r="S522" s="12"/>
    </row>
    <row r="523" spans="1:19" x14ac:dyDescent="0.25">
      <c r="A523" s="9" t="s">
        <v>150</v>
      </c>
      <c r="B523" s="9" t="s">
        <v>150</v>
      </c>
      <c r="C523" s="4">
        <v>201001985</v>
      </c>
      <c r="D523" s="4"/>
      <c r="E523" s="4" t="str">
        <f>"039922010"</f>
        <v>039922010</v>
      </c>
      <c r="F523" s="10">
        <v>40232</v>
      </c>
      <c r="G523" s="11">
        <v>370.12</v>
      </c>
      <c r="H523" s="11">
        <v>370.12</v>
      </c>
      <c r="I523" s="4" t="s">
        <v>1766</v>
      </c>
      <c r="J523" s="4" t="s">
        <v>1767</v>
      </c>
      <c r="K523" s="11">
        <v>0</v>
      </c>
      <c r="L523" s="4"/>
      <c r="M523" s="4"/>
      <c r="N523" s="11">
        <v>0</v>
      </c>
      <c r="O523" s="4"/>
      <c r="P523" s="4"/>
      <c r="Q523" s="11">
        <v>0</v>
      </c>
      <c r="R523" s="4"/>
      <c r="S523" s="12"/>
    </row>
    <row r="524" spans="1:19" x14ac:dyDescent="0.25">
      <c r="A524" s="9" t="s">
        <v>150</v>
      </c>
      <c r="B524" s="9" t="s">
        <v>150</v>
      </c>
      <c r="C524" s="4">
        <v>201002087</v>
      </c>
      <c r="D524" s="4"/>
      <c r="E524" s="4" t="str">
        <f>"043312010"</f>
        <v>043312010</v>
      </c>
      <c r="F524" s="10">
        <v>40241</v>
      </c>
      <c r="G524" s="11">
        <v>7722.31</v>
      </c>
      <c r="H524" s="11">
        <v>7722.31</v>
      </c>
      <c r="I524" s="4" t="s">
        <v>366</v>
      </c>
      <c r="J524" s="4" t="s">
        <v>367</v>
      </c>
      <c r="K524" s="11">
        <v>0</v>
      </c>
      <c r="L524" s="4"/>
      <c r="M524" s="4"/>
      <c r="N524" s="11">
        <v>0</v>
      </c>
      <c r="O524" s="4"/>
      <c r="P524" s="4"/>
      <c r="Q524" s="11">
        <v>0</v>
      </c>
      <c r="R524" s="4"/>
      <c r="S524" s="12"/>
    </row>
    <row r="525" spans="1:19" x14ac:dyDescent="0.25">
      <c r="A525" s="9" t="s">
        <v>150</v>
      </c>
      <c r="B525" s="9" t="s">
        <v>150</v>
      </c>
      <c r="C525" s="4">
        <v>201002088</v>
      </c>
      <c r="D525" s="4"/>
      <c r="E525" s="4" t="str">
        <f>"042512010"</f>
        <v>042512010</v>
      </c>
      <c r="F525" s="10">
        <v>40246</v>
      </c>
      <c r="G525" s="11">
        <v>106.95</v>
      </c>
      <c r="H525" s="11">
        <v>106.95</v>
      </c>
      <c r="I525" s="4" t="s">
        <v>1766</v>
      </c>
      <c r="J525" s="4" t="s">
        <v>1767</v>
      </c>
      <c r="K525" s="11">
        <v>0</v>
      </c>
      <c r="L525" s="4"/>
      <c r="M525" s="4"/>
      <c r="N525" s="11">
        <v>0</v>
      </c>
      <c r="O525" s="4"/>
      <c r="P525" s="4"/>
      <c r="Q525" s="11">
        <v>0</v>
      </c>
      <c r="R525" s="4"/>
      <c r="S525" s="12"/>
    </row>
    <row r="526" spans="1:19" x14ac:dyDescent="0.25">
      <c r="A526" s="9" t="s">
        <v>150</v>
      </c>
      <c r="B526" s="9" t="s">
        <v>150</v>
      </c>
      <c r="C526" s="4">
        <v>201002092</v>
      </c>
      <c r="D526" s="4"/>
      <c r="E526" s="4" t="str">
        <f>"042852010"</f>
        <v>042852010</v>
      </c>
      <c r="F526" s="10">
        <v>40246</v>
      </c>
      <c r="G526" s="11">
        <v>382.38</v>
      </c>
      <c r="H526" s="11">
        <v>382.38</v>
      </c>
      <c r="I526" s="4" t="s">
        <v>1766</v>
      </c>
      <c r="J526" s="4" t="s">
        <v>1767</v>
      </c>
      <c r="K526" s="11">
        <v>0</v>
      </c>
      <c r="L526" s="4"/>
      <c r="M526" s="4"/>
      <c r="N526" s="11">
        <v>0</v>
      </c>
      <c r="O526" s="4"/>
      <c r="P526" s="4"/>
      <c r="Q526" s="11">
        <v>0</v>
      </c>
      <c r="R526" s="4"/>
      <c r="S526" s="12"/>
    </row>
    <row r="527" spans="1:19" x14ac:dyDescent="0.25">
      <c r="A527" s="9" t="s">
        <v>150</v>
      </c>
      <c r="B527" s="9" t="s">
        <v>150</v>
      </c>
      <c r="C527" s="4">
        <v>201002160</v>
      </c>
      <c r="D527" s="4"/>
      <c r="E527" s="4" t="str">
        <f>"043932010"</f>
        <v>043932010</v>
      </c>
      <c r="F527" s="10">
        <v>40241</v>
      </c>
      <c r="G527" s="11">
        <v>1000</v>
      </c>
      <c r="H527" s="11">
        <v>1000</v>
      </c>
      <c r="I527" s="4" t="s">
        <v>1766</v>
      </c>
      <c r="J527" s="4" t="s">
        <v>1767</v>
      </c>
      <c r="K527" s="11">
        <v>0</v>
      </c>
      <c r="L527" s="4"/>
      <c r="M527" s="4"/>
      <c r="N527" s="11">
        <v>0</v>
      </c>
      <c r="O527" s="4"/>
      <c r="P527" s="4"/>
      <c r="Q527" s="11">
        <v>0</v>
      </c>
      <c r="R527" s="4"/>
      <c r="S527" s="12"/>
    </row>
    <row r="528" spans="1:19" x14ac:dyDescent="0.25">
      <c r="A528" s="9" t="s">
        <v>150</v>
      </c>
      <c r="B528" s="9" t="s">
        <v>150</v>
      </c>
      <c r="C528" s="4">
        <v>201002166</v>
      </c>
      <c r="D528" s="4"/>
      <c r="E528" s="4" t="str">
        <f>"049922010"</f>
        <v>049922010</v>
      </c>
      <c r="F528" s="10">
        <v>40262</v>
      </c>
      <c r="G528" s="11">
        <v>1000</v>
      </c>
      <c r="H528" s="11">
        <v>1000</v>
      </c>
      <c r="I528" s="4" t="s">
        <v>1766</v>
      </c>
      <c r="J528" s="4" t="s">
        <v>1767</v>
      </c>
      <c r="K528" s="11">
        <v>0</v>
      </c>
      <c r="L528" s="4"/>
      <c r="M528" s="4"/>
      <c r="N528" s="11">
        <v>0</v>
      </c>
      <c r="O528" s="4"/>
      <c r="P528" s="4"/>
      <c r="Q528" s="11">
        <v>0</v>
      </c>
      <c r="R528" s="4"/>
      <c r="S528" s="12"/>
    </row>
    <row r="529" spans="1:19" x14ac:dyDescent="0.25">
      <c r="A529" s="9" t="s">
        <v>150</v>
      </c>
      <c r="B529" s="9" t="s">
        <v>150</v>
      </c>
      <c r="C529" s="4">
        <v>201002167</v>
      </c>
      <c r="D529" s="4"/>
      <c r="E529" s="4" t="str">
        <f>"043912010"</f>
        <v>043912010</v>
      </c>
      <c r="F529" s="10">
        <v>40241</v>
      </c>
      <c r="G529" s="11">
        <v>1000</v>
      </c>
      <c r="H529" s="11">
        <v>1000</v>
      </c>
      <c r="I529" s="4" t="s">
        <v>1766</v>
      </c>
      <c r="J529" s="4" t="s">
        <v>1767</v>
      </c>
      <c r="K529" s="11">
        <v>0</v>
      </c>
      <c r="L529" s="4"/>
      <c r="M529" s="4"/>
      <c r="N529" s="11">
        <v>0</v>
      </c>
      <c r="O529" s="4"/>
      <c r="P529" s="4"/>
      <c r="Q529" s="11">
        <v>0</v>
      </c>
      <c r="R529" s="4"/>
      <c r="S529" s="12"/>
    </row>
    <row r="530" spans="1:19" x14ac:dyDescent="0.25">
      <c r="A530" s="9" t="s">
        <v>150</v>
      </c>
      <c r="B530" s="9" t="s">
        <v>150</v>
      </c>
      <c r="C530" s="4">
        <v>201002199</v>
      </c>
      <c r="D530" s="4"/>
      <c r="E530" s="4" t="str">
        <f>"044622010"</f>
        <v>044622010</v>
      </c>
      <c r="F530" s="10">
        <v>40245</v>
      </c>
      <c r="G530" s="11">
        <v>218.73</v>
      </c>
      <c r="H530" s="11">
        <v>218.73</v>
      </c>
      <c r="I530" s="4" t="s">
        <v>1766</v>
      </c>
      <c r="J530" s="4" t="s">
        <v>1767</v>
      </c>
      <c r="K530" s="11">
        <v>0</v>
      </c>
      <c r="L530" s="4"/>
      <c r="M530" s="4"/>
      <c r="N530" s="11">
        <v>0</v>
      </c>
      <c r="O530" s="4"/>
      <c r="P530" s="4"/>
      <c r="Q530" s="11">
        <v>0</v>
      </c>
      <c r="R530" s="4"/>
      <c r="S530" s="12"/>
    </row>
    <row r="531" spans="1:19" x14ac:dyDescent="0.25">
      <c r="A531" s="9" t="s">
        <v>150</v>
      </c>
      <c r="B531" s="9" t="s">
        <v>150</v>
      </c>
      <c r="C531" s="4">
        <v>201002272</v>
      </c>
      <c r="D531" s="4"/>
      <c r="E531" s="4" t="str">
        <f>"045622010"</f>
        <v>045622010</v>
      </c>
      <c r="F531" s="10">
        <v>40249</v>
      </c>
      <c r="G531" s="11">
        <v>164.53</v>
      </c>
      <c r="H531" s="11">
        <v>164.53</v>
      </c>
      <c r="I531" s="4" t="s">
        <v>1766</v>
      </c>
      <c r="J531" s="4" t="s">
        <v>1767</v>
      </c>
      <c r="K531" s="11">
        <v>0</v>
      </c>
      <c r="L531" s="4"/>
      <c r="M531" s="4"/>
      <c r="N531" s="11">
        <v>0</v>
      </c>
      <c r="O531" s="4"/>
      <c r="P531" s="4"/>
      <c r="Q531" s="11">
        <v>0</v>
      </c>
      <c r="R531" s="4"/>
      <c r="S531" s="12"/>
    </row>
    <row r="532" spans="1:19" x14ac:dyDescent="0.25">
      <c r="A532" s="9" t="s">
        <v>150</v>
      </c>
      <c r="B532" s="9" t="s">
        <v>150</v>
      </c>
      <c r="C532" s="4">
        <v>201002275</v>
      </c>
      <c r="D532" s="4"/>
      <c r="E532" s="4" t="str">
        <f>"045582010"</f>
        <v>045582010</v>
      </c>
      <c r="F532" s="10">
        <v>40249</v>
      </c>
      <c r="G532" s="11">
        <v>18</v>
      </c>
      <c r="H532" s="11">
        <v>18</v>
      </c>
      <c r="I532" s="4" t="s">
        <v>1766</v>
      </c>
      <c r="J532" s="4" t="s">
        <v>1767</v>
      </c>
      <c r="K532" s="11">
        <v>0</v>
      </c>
      <c r="L532" s="4"/>
      <c r="M532" s="4"/>
      <c r="N532" s="11">
        <v>0</v>
      </c>
      <c r="O532" s="4"/>
      <c r="P532" s="4"/>
      <c r="Q532" s="11">
        <v>0</v>
      </c>
      <c r="R532" s="4"/>
      <c r="S532" s="12"/>
    </row>
    <row r="533" spans="1:19" x14ac:dyDescent="0.25">
      <c r="A533" s="9" t="s">
        <v>150</v>
      </c>
      <c r="B533" s="9" t="s">
        <v>150</v>
      </c>
      <c r="C533" s="4">
        <v>201002277</v>
      </c>
      <c r="D533" s="4"/>
      <c r="E533" s="4" t="str">
        <f>"045602010"</f>
        <v>045602010</v>
      </c>
      <c r="F533" s="10">
        <v>40249</v>
      </c>
      <c r="G533" s="11">
        <v>162.16999999999999</v>
      </c>
      <c r="H533" s="11">
        <v>162.16999999999999</v>
      </c>
      <c r="I533" s="4" t="s">
        <v>1766</v>
      </c>
      <c r="J533" s="4" t="s">
        <v>1767</v>
      </c>
      <c r="K533" s="11">
        <v>0</v>
      </c>
      <c r="L533" s="4"/>
      <c r="M533" s="4"/>
      <c r="N533" s="11">
        <v>0</v>
      </c>
      <c r="O533" s="4"/>
      <c r="P533" s="4"/>
      <c r="Q533" s="11">
        <v>0</v>
      </c>
      <c r="R533" s="4"/>
      <c r="S533" s="12"/>
    </row>
    <row r="534" spans="1:19" x14ac:dyDescent="0.25">
      <c r="A534" s="9" t="s">
        <v>150</v>
      </c>
      <c r="B534" s="9" t="s">
        <v>150</v>
      </c>
      <c r="C534" s="4">
        <v>201002315</v>
      </c>
      <c r="D534" s="4"/>
      <c r="E534" s="4" t="str">
        <f>"046002010"</f>
        <v>046002010</v>
      </c>
      <c r="F534" s="10">
        <v>40252</v>
      </c>
      <c r="G534" s="11">
        <v>64.55</v>
      </c>
      <c r="H534" s="11">
        <v>64.55</v>
      </c>
      <c r="I534" s="4" t="s">
        <v>1766</v>
      </c>
      <c r="J534" s="4" t="s">
        <v>1767</v>
      </c>
      <c r="K534" s="11">
        <v>0</v>
      </c>
      <c r="L534" s="4"/>
      <c r="M534" s="4"/>
      <c r="N534" s="11">
        <v>0</v>
      </c>
      <c r="O534" s="4"/>
      <c r="P534" s="4"/>
      <c r="Q534" s="11">
        <v>0</v>
      </c>
      <c r="R534" s="4"/>
      <c r="S534" s="12"/>
    </row>
    <row r="535" spans="1:19" x14ac:dyDescent="0.25">
      <c r="A535" s="9" t="s">
        <v>150</v>
      </c>
      <c r="B535" s="9" t="s">
        <v>150</v>
      </c>
      <c r="C535" s="4">
        <v>201002316</v>
      </c>
      <c r="D535" s="4"/>
      <c r="E535" s="4" t="str">
        <f>"045982010"</f>
        <v>045982010</v>
      </c>
      <c r="F535" s="10">
        <v>40252</v>
      </c>
      <c r="G535" s="11">
        <v>32</v>
      </c>
      <c r="H535" s="11">
        <v>32</v>
      </c>
      <c r="I535" s="4" t="s">
        <v>1766</v>
      </c>
      <c r="J535" s="4" t="s">
        <v>1767</v>
      </c>
      <c r="K535" s="11">
        <v>0</v>
      </c>
      <c r="L535" s="4"/>
      <c r="M535" s="4"/>
      <c r="N535" s="11">
        <v>0</v>
      </c>
      <c r="O535" s="4"/>
      <c r="P535" s="4"/>
      <c r="Q535" s="11">
        <v>0</v>
      </c>
      <c r="R535" s="4"/>
      <c r="S535" s="12"/>
    </row>
    <row r="536" spans="1:19" x14ac:dyDescent="0.25">
      <c r="A536" s="9" t="s">
        <v>150</v>
      </c>
      <c r="B536" s="9" t="s">
        <v>150</v>
      </c>
      <c r="C536" s="4">
        <v>201002317</v>
      </c>
      <c r="D536" s="4"/>
      <c r="E536" s="4" t="str">
        <f>"046022010"</f>
        <v>046022010</v>
      </c>
      <c r="F536" s="10">
        <v>40252</v>
      </c>
      <c r="G536" s="11">
        <v>98.85</v>
      </c>
      <c r="H536" s="11">
        <v>98.85</v>
      </c>
      <c r="I536" s="4" t="s">
        <v>1766</v>
      </c>
      <c r="J536" s="4" t="s">
        <v>1767</v>
      </c>
      <c r="K536" s="11">
        <v>0</v>
      </c>
      <c r="L536" s="4"/>
      <c r="M536" s="4"/>
      <c r="N536" s="11">
        <v>0</v>
      </c>
      <c r="O536" s="4"/>
      <c r="P536" s="4"/>
      <c r="Q536" s="11">
        <v>0</v>
      </c>
      <c r="R536" s="4"/>
      <c r="S536" s="12"/>
    </row>
    <row r="537" spans="1:19" x14ac:dyDescent="0.25">
      <c r="A537" s="9" t="s">
        <v>150</v>
      </c>
      <c r="B537" s="9" t="s">
        <v>150</v>
      </c>
      <c r="C537" s="4">
        <v>201002347</v>
      </c>
      <c r="D537" s="4"/>
      <c r="E537" s="4" t="str">
        <f>"047942010"</f>
        <v>047942010</v>
      </c>
      <c r="F537" s="10">
        <v>40253</v>
      </c>
      <c r="G537" s="11">
        <v>211.48</v>
      </c>
      <c r="H537" s="11">
        <v>211.48</v>
      </c>
      <c r="I537" s="4" t="s">
        <v>1766</v>
      </c>
      <c r="J537" s="4" t="s">
        <v>1767</v>
      </c>
      <c r="K537" s="11">
        <v>0</v>
      </c>
      <c r="L537" s="4"/>
      <c r="M537" s="4"/>
      <c r="N537" s="11">
        <v>0</v>
      </c>
      <c r="O537" s="4"/>
      <c r="P537" s="4"/>
      <c r="Q537" s="11">
        <v>0</v>
      </c>
      <c r="R537" s="4"/>
      <c r="S537" s="12"/>
    </row>
    <row r="538" spans="1:19" x14ac:dyDescent="0.25">
      <c r="A538" s="9" t="s">
        <v>150</v>
      </c>
      <c r="B538" s="9" t="s">
        <v>150</v>
      </c>
      <c r="C538" s="4">
        <v>201002348</v>
      </c>
      <c r="D538" s="4"/>
      <c r="E538" s="4" t="str">
        <f>"047822010"</f>
        <v>047822010</v>
      </c>
      <c r="F538" s="10">
        <v>40255</v>
      </c>
      <c r="G538" s="11">
        <v>118.17</v>
      </c>
      <c r="H538" s="11">
        <v>118.17</v>
      </c>
      <c r="I538" s="4" t="s">
        <v>1766</v>
      </c>
      <c r="J538" s="4" t="s">
        <v>1767</v>
      </c>
      <c r="K538" s="11">
        <v>0</v>
      </c>
      <c r="L538" s="4"/>
      <c r="M538" s="4"/>
      <c r="N538" s="11">
        <v>0</v>
      </c>
      <c r="O538" s="4"/>
      <c r="P538" s="4"/>
      <c r="Q538" s="11">
        <v>0</v>
      </c>
      <c r="R538" s="4"/>
      <c r="S538" s="12"/>
    </row>
    <row r="539" spans="1:19" x14ac:dyDescent="0.25">
      <c r="A539" s="9" t="s">
        <v>150</v>
      </c>
      <c r="B539" s="9" t="s">
        <v>150</v>
      </c>
      <c r="C539" s="4">
        <v>201002349</v>
      </c>
      <c r="D539" s="4"/>
      <c r="E539" s="4" t="str">
        <f>"049902010"</f>
        <v>049902010</v>
      </c>
      <c r="F539" s="10">
        <v>40262</v>
      </c>
      <c r="G539" s="11">
        <v>8789.1299999999992</v>
      </c>
      <c r="H539" s="11">
        <v>8789.1299999999992</v>
      </c>
      <c r="I539" s="4" t="s">
        <v>54</v>
      </c>
      <c r="J539" s="4" t="s">
        <v>55</v>
      </c>
      <c r="K539" s="11">
        <v>0</v>
      </c>
      <c r="L539" s="4"/>
      <c r="M539" s="4"/>
      <c r="N539" s="11">
        <v>0</v>
      </c>
      <c r="O539" s="4"/>
      <c r="P539" s="4"/>
      <c r="Q539" s="11">
        <v>0</v>
      </c>
      <c r="R539" s="4"/>
      <c r="S539" s="12"/>
    </row>
    <row r="540" spans="1:19" x14ac:dyDescent="0.25">
      <c r="A540" s="9" t="s">
        <v>150</v>
      </c>
      <c r="B540" s="9" t="s">
        <v>150</v>
      </c>
      <c r="C540" s="4">
        <v>201002507</v>
      </c>
      <c r="D540" s="4"/>
      <c r="E540" s="4" t="str">
        <f>"050842010"</f>
        <v>050842010</v>
      </c>
      <c r="F540" s="10">
        <v>40262</v>
      </c>
      <c r="G540" s="11">
        <v>112.33</v>
      </c>
      <c r="H540" s="11">
        <v>112.33</v>
      </c>
      <c r="I540" s="4" t="s">
        <v>1766</v>
      </c>
      <c r="J540" s="4" t="s">
        <v>1767</v>
      </c>
      <c r="K540" s="11">
        <v>0</v>
      </c>
      <c r="L540" s="4"/>
      <c r="M540" s="4"/>
      <c r="N540" s="11">
        <v>0</v>
      </c>
      <c r="O540" s="4"/>
      <c r="P540" s="4"/>
      <c r="Q540" s="11">
        <v>0</v>
      </c>
      <c r="R540" s="4"/>
      <c r="S540" s="12"/>
    </row>
    <row r="541" spans="1:19" x14ac:dyDescent="0.25">
      <c r="A541" s="9" t="s">
        <v>150</v>
      </c>
      <c r="B541" s="9" t="s">
        <v>150</v>
      </c>
      <c r="C541" s="4">
        <v>201002508</v>
      </c>
      <c r="D541" s="4"/>
      <c r="E541" s="4" t="str">
        <f>"050362010"</f>
        <v>050362010</v>
      </c>
      <c r="F541" s="10">
        <v>40262</v>
      </c>
      <c r="G541" s="11">
        <v>2545.52</v>
      </c>
      <c r="H541" s="11">
        <v>2545.52</v>
      </c>
      <c r="I541" s="4" t="s">
        <v>366</v>
      </c>
      <c r="J541" s="4" t="s">
        <v>367</v>
      </c>
      <c r="K541" s="11">
        <v>0</v>
      </c>
      <c r="L541" s="4"/>
      <c r="M541" s="4"/>
      <c r="N541" s="11">
        <v>0</v>
      </c>
      <c r="O541" s="4"/>
      <c r="P541" s="4"/>
      <c r="Q541" s="11">
        <v>0</v>
      </c>
      <c r="R541" s="4"/>
      <c r="S541" s="12"/>
    </row>
    <row r="542" spans="1:19" x14ac:dyDescent="0.25">
      <c r="A542" s="9" t="s">
        <v>150</v>
      </c>
      <c r="B542" s="9" t="s">
        <v>150</v>
      </c>
      <c r="C542" s="4">
        <v>201002561</v>
      </c>
      <c r="D542" s="4"/>
      <c r="E542" s="4" t="str">
        <f>"052002010"</f>
        <v>052002010</v>
      </c>
      <c r="F542" s="10">
        <v>40270</v>
      </c>
      <c r="G542" s="11">
        <v>18538.11</v>
      </c>
      <c r="H542" s="11">
        <v>18538.11</v>
      </c>
      <c r="I542" s="4" t="s">
        <v>366</v>
      </c>
      <c r="J542" s="4" t="s">
        <v>367</v>
      </c>
      <c r="K542" s="11">
        <v>0</v>
      </c>
      <c r="L542" s="4"/>
      <c r="M542" s="4"/>
      <c r="N542" s="11">
        <v>0</v>
      </c>
      <c r="O542" s="4"/>
      <c r="P542" s="4"/>
      <c r="Q542" s="11">
        <v>0</v>
      </c>
      <c r="R542" s="4"/>
      <c r="S542" s="12"/>
    </row>
    <row r="543" spans="1:19" x14ac:dyDescent="0.25">
      <c r="A543" s="9" t="s">
        <v>150</v>
      </c>
      <c r="B543" s="9" t="s">
        <v>150</v>
      </c>
      <c r="C543" s="4">
        <v>201002579</v>
      </c>
      <c r="D543" s="4"/>
      <c r="E543" s="4" t="str">
        <f>"059882010"</f>
        <v>059882010</v>
      </c>
      <c r="F543" s="10">
        <v>40289</v>
      </c>
      <c r="G543" s="11">
        <v>882.06</v>
      </c>
      <c r="H543" s="11">
        <v>882.06</v>
      </c>
      <c r="I543" s="4" t="s">
        <v>1766</v>
      </c>
      <c r="J543" s="4" t="s">
        <v>1767</v>
      </c>
      <c r="K543" s="11">
        <v>0</v>
      </c>
      <c r="L543" s="4"/>
      <c r="M543" s="4"/>
      <c r="N543" s="11">
        <v>0</v>
      </c>
      <c r="O543" s="4"/>
      <c r="P543" s="4"/>
      <c r="Q543" s="11">
        <v>0</v>
      </c>
      <c r="R543" s="4"/>
      <c r="S543" s="12"/>
    </row>
    <row r="544" spans="1:19" x14ac:dyDescent="0.25">
      <c r="A544" s="9" t="s">
        <v>150</v>
      </c>
      <c r="B544" s="9" t="s">
        <v>150</v>
      </c>
      <c r="C544" s="4">
        <v>201002650</v>
      </c>
      <c r="D544" s="4"/>
      <c r="E544" s="4" t="str">
        <f>"056672010"</f>
        <v>056672010</v>
      </c>
      <c r="F544" s="10">
        <v>40276</v>
      </c>
      <c r="G544" s="11">
        <v>10741.53</v>
      </c>
      <c r="H544" s="11">
        <v>10741.53</v>
      </c>
      <c r="I544" s="4" t="s">
        <v>366</v>
      </c>
      <c r="J544" s="4" t="s">
        <v>367</v>
      </c>
      <c r="K544" s="11">
        <v>0</v>
      </c>
      <c r="L544" s="4"/>
      <c r="M544" s="4"/>
      <c r="N544" s="11">
        <v>0</v>
      </c>
      <c r="O544" s="4"/>
      <c r="P544" s="4"/>
      <c r="Q544" s="11">
        <v>0</v>
      </c>
      <c r="R544" s="4"/>
      <c r="S544" s="12"/>
    </row>
    <row r="545" spans="1:19" x14ac:dyDescent="0.25">
      <c r="A545" s="9" t="s">
        <v>150</v>
      </c>
      <c r="B545" s="9" t="s">
        <v>150</v>
      </c>
      <c r="C545" s="4">
        <v>201002789</v>
      </c>
      <c r="D545" s="4" t="s">
        <v>1798</v>
      </c>
      <c r="E545" s="4" t="str">
        <f>"054702010"</f>
        <v>054702010</v>
      </c>
      <c r="F545" s="10">
        <v>40270</v>
      </c>
      <c r="G545" s="11">
        <v>6250</v>
      </c>
      <c r="H545" s="11">
        <v>6250</v>
      </c>
      <c r="I545" s="4" t="s">
        <v>366</v>
      </c>
      <c r="J545" s="4" t="s">
        <v>367</v>
      </c>
      <c r="K545" s="11">
        <v>0</v>
      </c>
      <c r="L545" s="4"/>
      <c r="M545" s="4"/>
      <c r="N545" s="11">
        <v>0</v>
      </c>
      <c r="O545" s="4"/>
      <c r="P545" s="4"/>
      <c r="Q545" s="11">
        <v>0</v>
      </c>
      <c r="R545" s="4"/>
      <c r="S545" s="12"/>
    </row>
    <row r="546" spans="1:19" x14ac:dyDescent="0.25">
      <c r="A546" s="9" t="s">
        <v>150</v>
      </c>
      <c r="B546" s="9" t="s">
        <v>150</v>
      </c>
      <c r="C546" s="4">
        <v>201002811</v>
      </c>
      <c r="D546" s="4"/>
      <c r="E546" s="4" t="str">
        <f>"057442010"</f>
        <v>057442010</v>
      </c>
      <c r="F546" s="10">
        <v>40295</v>
      </c>
      <c r="G546" s="11">
        <v>9015.57</v>
      </c>
      <c r="H546" s="11">
        <v>9015.57</v>
      </c>
      <c r="I546" s="4" t="s">
        <v>366</v>
      </c>
      <c r="J546" s="4" t="s">
        <v>367</v>
      </c>
      <c r="K546" s="11">
        <v>0</v>
      </c>
      <c r="L546" s="4"/>
      <c r="M546" s="4"/>
      <c r="N546" s="11">
        <v>0</v>
      </c>
      <c r="O546" s="4"/>
      <c r="P546" s="4"/>
      <c r="Q546" s="11">
        <v>0</v>
      </c>
      <c r="R546" s="4"/>
      <c r="S546" s="12"/>
    </row>
    <row r="547" spans="1:19" x14ac:dyDescent="0.25">
      <c r="A547" s="9" t="s">
        <v>150</v>
      </c>
      <c r="B547" s="9" t="s">
        <v>150</v>
      </c>
      <c r="C547" s="4">
        <v>201002816</v>
      </c>
      <c r="D547" s="4"/>
      <c r="E547" s="4" t="str">
        <f>"059612010"</f>
        <v>059612010</v>
      </c>
      <c r="F547" s="10">
        <v>40287</v>
      </c>
      <c r="G547" s="11">
        <v>682.46</v>
      </c>
      <c r="H547" s="11">
        <v>682.46</v>
      </c>
      <c r="I547" s="4" t="s">
        <v>1766</v>
      </c>
      <c r="J547" s="4" t="s">
        <v>1767</v>
      </c>
      <c r="K547" s="11">
        <v>0</v>
      </c>
      <c r="L547" s="4"/>
      <c r="M547" s="4"/>
      <c r="N547" s="11">
        <v>0</v>
      </c>
      <c r="O547" s="4"/>
      <c r="P547" s="4"/>
      <c r="Q547" s="11">
        <v>0</v>
      </c>
      <c r="R547" s="4"/>
      <c r="S547" s="12"/>
    </row>
    <row r="548" spans="1:19" x14ac:dyDescent="0.25">
      <c r="A548" s="9" t="s">
        <v>150</v>
      </c>
      <c r="B548" s="9" t="s">
        <v>150</v>
      </c>
      <c r="C548" s="4">
        <v>201002842</v>
      </c>
      <c r="D548" s="4"/>
      <c r="E548" s="4" t="str">
        <f>"056332010"</f>
        <v>056332010</v>
      </c>
      <c r="F548" s="10">
        <v>40276</v>
      </c>
      <c r="G548" s="11">
        <v>5071.7299999999996</v>
      </c>
      <c r="H548" s="11">
        <v>5071.7299999999996</v>
      </c>
      <c r="I548" s="4" t="s">
        <v>366</v>
      </c>
      <c r="J548" s="4" t="s">
        <v>367</v>
      </c>
      <c r="K548" s="11">
        <v>0</v>
      </c>
      <c r="L548" s="4"/>
      <c r="M548" s="4"/>
      <c r="N548" s="11">
        <v>0</v>
      </c>
      <c r="O548" s="4"/>
      <c r="P548" s="4"/>
      <c r="Q548" s="11">
        <v>0</v>
      </c>
      <c r="R548" s="4"/>
      <c r="S548" s="12"/>
    </row>
    <row r="549" spans="1:19" x14ac:dyDescent="0.25">
      <c r="A549" s="9" t="s">
        <v>150</v>
      </c>
      <c r="B549" s="9" t="s">
        <v>150</v>
      </c>
      <c r="C549" s="4">
        <v>201002843</v>
      </c>
      <c r="D549" s="4"/>
      <c r="E549" s="4" t="str">
        <f>"056352010"</f>
        <v>056352010</v>
      </c>
      <c r="F549" s="10">
        <v>40281</v>
      </c>
      <c r="G549" s="11">
        <v>2652.23</v>
      </c>
      <c r="H549" s="11">
        <v>2652.23</v>
      </c>
      <c r="I549" s="4" t="s">
        <v>366</v>
      </c>
      <c r="J549" s="4" t="s">
        <v>367</v>
      </c>
      <c r="K549" s="11">
        <v>0</v>
      </c>
      <c r="L549" s="4"/>
      <c r="M549" s="4"/>
      <c r="N549" s="11">
        <v>0</v>
      </c>
      <c r="O549" s="4"/>
      <c r="P549" s="4"/>
      <c r="Q549" s="11">
        <v>0</v>
      </c>
      <c r="R549" s="4"/>
      <c r="S549" s="12"/>
    </row>
    <row r="550" spans="1:19" x14ac:dyDescent="0.25">
      <c r="A550" s="9" t="s">
        <v>150</v>
      </c>
      <c r="B550" s="9" t="s">
        <v>150</v>
      </c>
      <c r="C550" s="4">
        <v>201002844</v>
      </c>
      <c r="D550" s="4"/>
      <c r="E550" s="4" t="str">
        <f>"064492010"</f>
        <v>064492010</v>
      </c>
      <c r="F550" s="10">
        <v>40302</v>
      </c>
      <c r="G550" s="11">
        <v>667.4</v>
      </c>
      <c r="H550" s="11">
        <v>667.4</v>
      </c>
      <c r="I550" s="4" t="s">
        <v>1766</v>
      </c>
      <c r="J550" s="4" t="s">
        <v>1767</v>
      </c>
      <c r="K550" s="11">
        <v>0</v>
      </c>
      <c r="L550" s="4"/>
      <c r="M550" s="4"/>
      <c r="N550" s="11">
        <v>0</v>
      </c>
      <c r="O550" s="4"/>
      <c r="P550" s="4"/>
      <c r="Q550" s="11">
        <v>0</v>
      </c>
      <c r="R550" s="4"/>
      <c r="S550" s="12"/>
    </row>
    <row r="551" spans="1:19" x14ac:dyDescent="0.25">
      <c r="A551" s="9" t="s">
        <v>150</v>
      </c>
      <c r="B551" s="9" t="s">
        <v>150</v>
      </c>
      <c r="C551" s="4">
        <v>201002894</v>
      </c>
      <c r="D551" s="4"/>
      <c r="E551" s="4" t="str">
        <f>"060662010"</f>
        <v>060662010</v>
      </c>
      <c r="F551" s="10">
        <v>40296</v>
      </c>
      <c r="G551" s="11">
        <v>30.25</v>
      </c>
      <c r="H551" s="11">
        <v>30.25</v>
      </c>
      <c r="I551" s="4" t="s">
        <v>1766</v>
      </c>
      <c r="J551" s="4" t="s">
        <v>1767</v>
      </c>
      <c r="K551" s="11">
        <v>0</v>
      </c>
      <c r="L551" s="4"/>
      <c r="M551" s="4"/>
      <c r="N551" s="11">
        <v>0</v>
      </c>
      <c r="O551" s="4"/>
      <c r="P551" s="4"/>
      <c r="Q551" s="11">
        <v>0</v>
      </c>
      <c r="R551" s="4"/>
      <c r="S551" s="12"/>
    </row>
    <row r="552" spans="1:19" x14ac:dyDescent="0.25">
      <c r="A552" s="9" t="s">
        <v>150</v>
      </c>
      <c r="B552" s="9" t="s">
        <v>150</v>
      </c>
      <c r="C552" s="4">
        <v>201002954</v>
      </c>
      <c r="D552" s="4"/>
      <c r="E552" s="4" t="str">
        <f>"060702010"</f>
        <v>060702010</v>
      </c>
      <c r="F552" s="10">
        <v>40296</v>
      </c>
      <c r="G552" s="11">
        <v>4356.28</v>
      </c>
      <c r="H552" s="11">
        <v>4356.28</v>
      </c>
      <c r="I552" s="4" t="s">
        <v>366</v>
      </c>
      <c r="J552" s="4" t="s">
        <v>367</v>
      </c>
      <c r="K552" s="11">
        <v>0</v>
      </c>
      <c r="L552" s="4"/>
      <c r="M552" s="4"/>
      <c r="N552" s="11">
        <v>0</v>
      </c>
      <c r="O552" s="4"/>
      <c r="P552" s="4"/>
      <c r="Q552" s="11">
        <v>0</v>
      </c>
      <c r="R552" s="4"/>
      <c r="S552" s="12"/>
    </row>
    <row r="553" spans="1:19" x14ac:dyDescent="0.25">
      <c r="A553" s="9" t="s">
        <v>150</v>
      </c>
      <c r="B553" s="9" t="s">
        <v>150</v>
      </c>
      <c r="C553" s="4">
        <v>201002955</v>
      </c>
      <c r="D553" s="4"/>
      <c r="E553" s="4" t="str">
        <f>"060682010"</f>
        <v>060682010</v>
      </c>
      <c r="F553" s="10">
        <v>40296</v>
      </c>
      <c r="G553" s="11">
        <v>123.29</v>
      </c>
      <c r="H553" s="11">
        <v>123.29</v>
      </c>
      <c r="I553" s="4" t="s">
        <v>1766</v>
      </c>
      <c r="J553" s="4" t="s">
        <v>1767</v>
      </c>
      <c r="K553" s="11">
        <v>0</v>
      </c>
      <c r="L553" s="4"/>
      <c r="M553" s="4"/>
      <c r="N553" s="11">
        <v>0</v>
      </c>
      <c r="O553" s="4"/>
      <c r="P553" s="4"/>
      <c r="Q553" s="11">
        <v>0</v>
      </c>
      <c r="R553" s="4"/>
      <c r="S553" s="12"/>
    </row>
    <row r="554" spans="1:19" x14ac:dyDescent="0.25">
      <c r="A554" s="9" t="s">
        <v>150</v>
      </c>
      <c r="B554" s="9" t="s">
        <v>150</v>
      </c>
      <c r="C554" s="4">
        <v>201002956</v>
      </c>
      <c r="D554" s="4"/>
      <c r="E554" s="4" t="str">
        <f>"060742010"</f>
        <v>060742010</v>
      </c>
      <c r="F554" s="10">
        <v>40296</v>
      </c>
      <c r="G554" s="11">
        <v>44.06</v>
      </c>
      <c r="H554" s="11">
        <v>44.06</v>
      </c>
      <c r="I554" s="4" t="s">
        <v>1766</v>
      </c>
      <c r="J554" s="4" t="s">
        <v>1767</v>
      </c>
      <c r="K554" s="11">
        <v>0</v>
      </c>
      <c r="L554" s="4"/>
      <c r="M554" s="4"/>
      <c r="N554" s="11">
        <v>0</v>
      </c>
      <c r="O554" s="4"/>
      <c r="P554" s="4"/>
      <c r="Q554" s="11">
        <v>0</v>
      </c>
      <c r="R554" s="4"/>
      <c r="S554" s="12"/>
    </row>
    <row r="555" spans="1:19" x14ac:dyDescent="0.25">
      <c r="A555" s="9" t="s">
        <v>150</v>
      </c>
      <c r="B555" s="9" t="s">
        <v>150</v>
      </c>
      <c r="C555" s="4">
        <v>201002957</v>
      </c>
      <c r="D555" s="4"/>
      <c r="E555" s="4" t="str">
        <f>"062242010"</f>
        <v>062242010</v>
      </c>
      <c r="F555" s="10">
        <v>40296</v>
      </c>
      <c r="G555" s="11">
        <v>654.94000000000005</v>
      </c>
      <c r="H555" s="11">
        <v>654.94000000000005</v>
      </c>
      <c r="I555" s="4" t="s">
        <v>1766</v>
      </c>
      <c r="J555" s="4" t="s">
        <v>1767</v>
      </c>
      <c r="K555" s="11">
        <v>0</v>
      </c>
      <c r="L555" s="4"/>
      <c r="M555" s="4"/>
      <c r="N555" s="11">
        <v>0</v>
      </c>
      <c r="O555" s="4"/>
      <c r="P555" s="4"/>
      <c r="Q555" s="11">
        <v>0</v>
      </c>
      <c r="R555" s="4"/>
      <c r="S555" s="12"/>
    </row>
    <row r="556" spans="1:19" x14ac:dyDescent="0.25">
      <c r="A556" s="9" t="s">
        <v>150</v>
      </c>
      <c r="B556" s="9" t="s">
        <v>150</v>
      </c>
      <c r="C556" s="4">
        <v>201003046</v>
      </c>
      <c r="D556" s="4"/>
      <c r="E556" s="4" t="str">
        <f>"060762010"</f>
        <v>060762010</v>
      </c>
      <c r="F556" s="10">
        <v>40296</v>
      </c>
      <c r="G556" s="11">
        <v>91.5</v>
      </c>
      <c r="H556" s="11">
        <v>91.5</v>
      </c>
      <c r="I556" s="4" t="s">
        <v>1766</v>
      </c>
      <c r="J556" s="4" t="s">
        <v>1767</v>
      </c>
      <c r="K556" s="11">
        <v>0</v>
      </c>
      <c r="L556" s="4"/>
      <c r="M556" s="4"/>
      <c r="N556" s="11">
        <v>0</v>
      </c>
      <c r="O556" s="4"/>
      <c r="P556" s="4"/>
      <c r="Q556" s="11">
        <v>0</v>
      </c>
      <c r="R556" s="4"/>
      <c r="S556" s="12"/>
    </row>
    <row r="557" spans="1:19" x14ac:dyDescent="0.25">
      <c r="A557" s="9" t="s">
        <v>150</v>
      </c>
      <c r="B557" s="9" t="s">
        <v>150</v>
      </c>
      <c r="C557" s="4">
        <v>201003118</v>
      </c>
      <c r="D557" s="4"/>
      <c r="E557" s="4" t="str">
        <f>"063782010"</f>
        <v>063782010</v>
      </c>
      <c r="F557" s="10">
        <v>40302</v>
      </c>
      <c r="G557" s="11">
        <v>97.99</v>
      </c>
      <c r="H557" s="11">
        <v>97.99</v>
      </c>
      <c r="I557" s="4" t="s">
        <v>1766</v>
      </c>
      <c r="J557" s="4" t="s">
        <v>1767</v>
      </c>
      <c r="K557" s="11">
        <v>0</v>
      </c>
      <c r="L557" s="4"/>
      <c r="M557" s="4"/>
      <c r="N557" s="11">
        <v>0</v>
      </c>
      <c r="O557" s="4"/>
      <c r="P557" s="4"/>
      <c r="Q557" s="11">
        <v>0</v>
      </c>
      <c r="R557" s="4"/>
      <c r="S557" s="12"/>
    </row>
    <row r="558" spans="1:19" x14ac:dyDescent="0.25">
      <c r="A558" s="9" t="s">
        <v>150</v>
      </c>
      <c r="B558" s="9" t="s">
        <v>150</v>
      </c>
      <c r="C558" s="4">
        <v>201003122</v>
      </c>
      <c r="D558" s="4"/>
      <c r="E558" s="4" t="str">
        <f>"077302010"</f>
        <v>077302010</v>
      </c>
      <c r="F558" s="10">
        <v>40344</v>
      </c>
      <c r="G558" s="11">
        <v>22.84</v>
      </c>
      <c r="H558" s="11">
        <v>22.84</v>
      </c>
      <c r="I558" s="4" t="s">
        <v>1766</v>
      </c>
      <c r="J558" s="4" t="s">
        <v>1767</v>
      </c>
      <c r="K558" s="11">
        <v>0</v>
      </c>
      <c r="L558" s="4"/>
      <c r="M558" s="4"/>
      <c r="N558" s="11">
        <v>0</v>
      </c>
      <c r="O558" s="4"/>
      <c r="P558" s="4"/>
      <c r="Q558" s="11">
        <v>0</v>
      </c>
      <c r="R558" s="4"/>
      <c r="S558" s="12"/>
    </row>
    <row r="559" spans="1:19" x14ac:dyDescent="0.25">
      <c r="A559" s="9" t="s">
        <v>150</v>
      </c>
      <c r="B559" s="9" t="s">
        <v>150</v>
      </c>
      <c r="C559" s="4">
        <v>201003130</v>
      </c>
      <c r="D559" s="4"/>
      <c r="E559" s="4" t="str">
        <f>"062522010"</f>
        <v>062522010</v>
      </c>
      <c r="F559" s="10">
        <v>40296</v>
      </c>
      <c r="G559" s="11">
        <v>3070.78</v>
      </c>
      <c r="H559" s="11">
        <v>3070.78</v>
      </c>
      <c r="I559" s="4" t="s">
        <v>366</v>
      </c>
      <c r="J559" s="4" t="s">
        <v>367</v>
      </c>
      <c r="K559" s="11">
        <v>0</v>
      </c>
      <c r="L559" s="4"/>
      <c r="M559" s="4"/>
      <c r="N559" s="11">
        <v>0</v>
      </c>
      <c r="O559" s="4"/>
      <c r="P559" s="4"/>
      <c r="Q559" s="11">
        <v>0</v>
      </c>
      <c r="R559" s="4"/>
      <c r="S559" s="12"/>
    </row>
    <row r="560" spans="1:19" x14ac:dyDescent="0.25">
      <c r="A560" s="9" t="s">
        <v>150</v>
      </c>
      <c r="B560" s="9" t="s">
        <v>150</v>
      </c>
      <c r="C560" s="4">
        <v>201003132</v>
      </c>
      <c r="D560" s="4"/>
      <c r="E560" s="4" t="str">
        <f>"062502010"</f>
        <v>062502010</v>
      </c>
      <c r="F560" s="10">
        <v>40296</v>
      </c>
      <c r="G560" s="11">
        <v>500</v>
      </c>
      <c r="H560" s="11">
        <v>500</v>
      </c>
      <c r="I560" s="4" t="s">
        <v>1766</v>
      </c>
      <c r="J560" s="4" t="s">
        <v>1767</v>
      </c>
      <c r="K560" s="11">
        <v>0</v>
      </c>
      <c r="L560" s="4"/>
      <c r="M560" s="4"/>
      <c r="N560" s="11">
        <v>0</v>
      </c>
      <c r="O560" s="4"/>
      <c r="P560" s="4"/>
      <c r="Q560" s="11">
        <v>0</v>
      </c>
      <c r="R560" s="4"/>
      <c r="S560" s="12"/>
    </row>
    <row r="561" spans="1:19" x14ac:dyDescent="0.25">
      <c r="A561" s="9" t="s">
        <v>150</v>
      </c>
      <c r="B561" s="9" t="s">
        <v>150</v>
      </c>
      <c r="C561" s="4">
        <v>201003246</v>
      </c>
      <c r="D561" s="4"/>
      <c r="E561" s="4" t="str">
        <f>"076742010"</f>
        <v>076742010</v>
      </c>
      <c r="F561" s="10">
        <v>40338</v>
      </c>
      <c r="G561" s="11">
        <v>14016.4</v>
      </c>
      <c r="H561" s="11">
        <v>14016.4</v>
      </c>
      <c r="I561" s="4" t="s">
        <v>366</v>
      </c>
      <c r="J561" s="4" t="s">
        <v>367</v>
      </c>
      <c r="K561" s="11">
        <v>0</v>
      </c>
      <c r="L561" s="4"/>
      <c r="M561" s="4"/>
      <c r="N561" s="11">
        <v>0</v>
      </c>
      <c r="O561" s="4"/>
      <c r="P561" s="4"/>
      <c r="Q561" s="11">
        <v>0</v>
      </c>
      <c r="R561" s="4"/>
      <c r="S561" s="12"/>
    </row>
    <row r="562" spans="1:19" x14ac:dyDescent="0.25">
      <c r="A562" s="9" t="s">
        <v>150</v>
      </c>
      <c r="B562" s="9" t="s">
        <v>150</v>
      </c>
      <c r="C562" s="4">
        <v>201003275</v>
      </c>
      <c r="D562" s="4"/>
      <c r="E562" s="4" t="str">
        <f>"065762010"</f>
        <v>065762010</v>
      </c>
      <c r="F562" s="10">
        <v>40305</v>
      </c>
      <c r="G562" s="11">
        <v>3956.51</v>
      </c>
      <c r="H562" s="11">
        <v>3956.51</v>
      </c>
      <c r="I562" s="4" t="s">
        <v>366</v>
      </c>
      <c r="J562" s="4" t="s">
        <v>367</v>
      </c>
      <c r="K562" s="11">
        <v>0</v>
      </c>
      <c r="L562" s="4"/>
      <c r="M562" s="4"/>
      <c r="N562" s="11">
        <v>0</v>
      </c>
      <c r="O562" s="4"/>
      <c r="P562" s="4"/>
      <c r="Q562" s="11">
        <v>0</v>
      </c>
      <c r="R562" s="4"/>
      <c r="S562" s="12"/>
    </row>
    <row r="563" spans="1:19" x14ac:dyDescent="0.25">
      <c r="A563" s="9" t="s">
        <v>150</v>
      </c>
      <c r="B563" s="9" t="s">
        <v>150</v>
      </c>
      <c r="C563" s="4">
        <v>201003277</v>
      </c>
      <c r="D563" s="4"/>
      <c r="E563" s="4" t="str">
        <f>"065682010"</f>
        <v>065682010</v>
      </c>
      <c r="F563" s="10">
        <v>40304</v>
      </c>
      <c r="G563" s="11">
        <v>2856.88</v>
      </c>
      <c r="H563" s="11">
        <v>2856.88</v>
      </c>
      <c r="I563" s="4" t="s">
        <v>366</v>
      </c>
      <c r="J563" s="4" t="s">
        <v>367</v>
      </c>
      <c r="K563" s="11">
        <v>0</v>
      </c>
      <c r="L563" s="4"/>
      <c r="M563" s="4"/>
      <c r="N563" s="11">
        <v>0</v>
      </c>
      <c r="O563" s="4"/>
      <c r="P563" s="4"/>
      <c r="Q563" s="11">
        <v>0</v>
      </c>
      <c r="R563" s="4"/>
      <c r="S563" s="12"/>
    </row>
    <row r="564" spans="1:19" x14ac:dyDescent="0.25">
      <c r="A564" s="9" t="s">
        <v>150</v>
      </c>
      <c r="B564" s="9" t="s">
        <v>150</v>
      </c>
      <c r="C564" s="4">
        <v>201003280</v>
      </c>
      <c r="D564" s="4"/>
      <c r="E564" s="4" t="str">
        <f>"065622010"</f>
        <v>065622010</v>
      </c>
      <c r="F564" s="10">
        <v>40304</v>
      </c>
      <c r="G564" s="11">
        <v>42.6</v>
      </c>
      <c r="H564" s="11">
        <v>42.6</v>
      </c>
      <c r="I564" s="4" t="s">
        <v>1766</v>
      </c>
      <c r="J564" s="4" t="s">
        <v>1767</v>
      </c>
      <c r="K564" s="11">
        <v>0</v>
      </c>
      <c r="L564" s="4"/>
      <c r="M564" s="4"/>
      <c r="N564" s="11">
        <v>0</v>
      </c>
      <c r="O564" s="4"/>
      <c r="P564" s="4"/>
      <c r="Q564" s="11">
        <v>0</v>
      </c>
      <c r="R564" s="4"/>
      <c r="S564" s="12"/>
    </row>
    <row r="565" spans="1:19" x14ac:dyDescent="0.25">
      <c r="A565" s="9" t="s">
        <v>150</v>
      </c>
      <c r="B565" s="9" t="s">
        <v>150</v>
      </c>
      <c r="C565" s="4">
        <v>201003289</v>
      </c>
      <c r="D565" s="4"/>
      <c r="E565" s="4" t="str">
        <f>"065642010"</f>
        <v>065642010</v>
      </c>
      <c r="F565" s="10">
        <v>40304</v>
      </c>
      <c r="G565" s="11">
        <v>1000</v>
      </c>
      <c r="H565" s="11">
        <v>1000</v>
      </c>
      <c r="I565" s="4" t="s">
        <v>1766</v>
      </c>
      <c r="J565" s="4" t="s">
        <v>1767</v>
      </c>
      <c r="K565" s="11">
        <v>0</v>
      </c>
      <c r="L565" s="4"/>
      <c r="M565" s="4"/>
      <c r="N565" s="11">
        <v>0</v>
      </c>
      <c r="O565" s="4"/>
      <c r="P565" s="4"/>
      <c r="Q565" s="11">
        <v>0</v>
      </c>
      <c r="R565" s="4"/>
      <c r="S565" s="12"/>
    </row>
    <row r="566" spans="1:19" x14ac:dyDescent="0.25">
      <c r="A566" s="9" t="s">
        <v>150</v>
      </c>
      <c r="B566" s="9" t="s">
        <v>150</v>
      </c>
      <c r="C566" s="4">
        <v>201003348</v>
      </c>
      <c r="D566" s="4"/>
      <c r="E566" s="4" t="str">
        <f>"068582010"</f>
        <v>068582010</v>
      </c>
      <c r="F566" s="10">
        <v>40312</v>
      </c>
      <c r="G566" s="11">
        <v>510</v>
      </c>
      <c r="H566" s="11">
        <v>510</v>
      </c>
      <c r="I566" s="4" t="s">
        <v>1766</v>
      </c>
      <c r="J566" s="4" t="s">
        <v>1767</v>
      </c>
      <c r="K566" s="11">
        <v>0</v>
      </c>
      <c r="L566" s="4"/>
      <c r="M566" s="4"/>
      <c r="N566" s="11">
        <v>0</v>
      </c>
      <c r="O566" s="4"/>
      <c r="P566" s="4"/>
      <c r="Q566" s="11">
        <v>0</v>
      </c>
      <c r="R566" s="4"/>
      <c r="S566" s="12"/>
    </row>
    <row r="567" spans="1:19" x14ac:dyDescent="0.25">
      <c r="A567" s="9" t="s">
        <v>150</v>
      </c>
      <c r="B567" s="9" t="s">
        <v>150</v>
      </c>
      <c r="C567" s="4">
        <v>201003395</v>
      </c>
      <c r="D567" s="4"/>
      <c r="E567" s="4" t="str">
        <f>"068822010"</f>
        <v>068822010</v>
      </c>
      <c r="F567" s="10">
        <v>40318</v>
      </c>
      <c r="G567" s="11">
        <v>5826.57</v>
      </c>
      <c r="H567" s="11">
        <v>5826.57</v>
      </c>
      <c r="I567" s="4" t="s">
        <v>366</v>
      </c>
      <c r="J567" s="4" t="s">
        <v>367</v>
      </c>
      <c r="K567" s="11">
        <v>0</v>
      </c>
      <c r="L567" s="4"/>
      <c r="M567" s="4"/>
      <c r="N567" s="11">
        <v>0</v>
      </c>
      <c r="O567" s="4"/>
      <c r="P567" s="4"/>
      <c r="Q567" s="11">
        <v>0</v>
      </c>
      <c r="R567" s="4"/>
      <c r="S567" s="12"/>
    </row>
    <row r="568" spans="1:19" x14ac:dyDescent="0.25">
      <c r="A568" s="9" t="s">
        <v>150</v>
      </c>
      <c r="B568" s="9" t="s">
        <v>150</v>
      </c>
      <c r="C568" s="4">
        <v>201003398</v>
      </c>
      <c r="D568" s="4"/>
      <c r="E568" s="4" t="str">
        <f>"068782010"</f>
        <v>068782010</v>
      </c>
      <c r="F568" s="10">
        <v>40312</v>
      </c>
      <c r="G568" s="11">
        <v>3003.63</v>
      </c>
      <c r="H568" s="11">
        <v>3003.63</v>
      </c>
      <c r="I568" s="4" t="s">
        <v>366</v>
      </c>
      <c r="J568" s="4" t="s">
        <v>367</v>
      </c>
      <c r="K568" s="11">
        <v>0</v>
      </c>
      <c r="L568" s="4"/>
      <c r="M568" s="4"/>
      <c r="N568" s="11">
        <v>0</v>
      </c>
      <c r="O568" s="4"/>
      <c r="P568" s="4"/>
      <c r="Q568" s="11">
        <v>0</v>
      </c>
      <c r="R568" s="4"/>
      <c r="S568" s="12"/>
    </row>
    <row r="569" spans="1:19" x14ac:dyDescent="0.25">
      <c r="A569" s="9" t="s">
        <v>150</v>
      </c>
      <c r="B569" s="9" t="s">
        <v>150</v>
      </c>
      <c r="C569" s="4">
        <v>201003400</v>
      </c>
      <c r="D569" s="4"/>
      <c r="E569" s="4" t="str">
        <f>"068662010"</f>
        <v>068662010</v>
      </c>
      <c r="F569" s="10">
        <v>40312</v>
      </c>
      <c r="G569" s="11">
        <v>222.26</v>
      </c>
      <c r="H569" s="11">
        <v>222.26</v>
      </c>
      <c r="I569" s="4" t="s">
        <v>1766</v>
      </c>
      <c r="J569" s="4" t="s">
        <v>1767</v>
      </c>
      <c r="K569" s="11">
        <v>0</v>
      </c>
      <c r="L569" s="4"/>
      <c r="M569" s="4"/>
      <c r="N569" s="11">
        <v>0</v>
      </c>
      <c r="O569" s="4"/>
      <c r="P569" s="4"/>
      <c r="Q569" s="11">
        <v>0</v>
      </c>
      <c r="R569" s="4"/>
      <c r="S569" s="12"/>
    </row>
    <row r="570" spans="1:19" x14ac:dyDescent="0.25">
      <c r="A570" s="9" t="s">
        <v>150</v>
      </c>
      <c r="B570" s="9" t="s">
        <v>150</v>
      </c>
      <c r="C570" s="4">
        <v>201003408</v>
      </c>
      <c r="D570" s="4"/>
      <c r="E570" s="4" t="str">
        <f>"068722010"</f>
        <v>068722010</v>
      </c>
      <c r="F570" s="10">
        <v>40316</v>
      </c>
      <c r="G570" s="11">
        <v>1000</v>
      </c>
      <c r="H570" s="11">
        <v>1000</v>
      </c>
      <c r="I570" s="4" t="s">
        <v>1766</v>
      </c>
      <c r="J570" s="4" t="s">
        <v>1767</v>
      </c>
      <c r="K570" s="11">
        <v>0</v>
      </c>
      <c r="L570" s="4"/>
      <c r="M570" s="4"/>
      <c r="N570" s="11">
        <v>0</v>
      </c>
      <c r="O570" s="4"/>
      <c r="P570" s="4"/>
      <c r="Q570" s="11">
        <v>0</v>
      </c>
      <c r="R570" s="4"/>
      <c r="S570" s="12"/>
    </row>
    <row r="571" spans="1:19" x14ac:dyDescent="0.25">
      <c r="A571" s="9" t="s">
        <v>150</v>
      </c>
      <c r="B571" s="9" t="s">
        <v>150</v>
      </c>
      <c r="C571" s="4">
        <v>201003485</v>
      </c>
      <c r="D571" s="4"/>
      <c r="E571" s="4" t="str">
        <f>"072212010"</f>
        <v>072212010</v>
      </c>
      <c r="F571" s="10">
        <v>40323</v>
      </c>
      <c r="G571" s="11">
        <v>2741.58</v>
      </c>
      <c r="H571" s="11">
        <v>2741.58</v>
      </c>
      <c r="I571" s="4" t="s">
        <v>366</v>
      </c>
      <c r="J571" s="4" t="s">
        <v>367</v>
      </c>
      <c r="K571" s="11">
        <v>0</v>
      </c>
      <c r="L571" s="4"/>
      <c r="M571" s="4"/>
      <c r="N571" s="11">
        <v>0</v>
      </c>
      <c r="O571" s="4"/>
      <c r="P571" s="4"/>
      <c r="Q571" s="11">
        <v>0</v>
      </c>
      <c r="R571" s="4"/>
      <c r="S571" s="12"/>
    </row>
    <row r="572" spans="1:19" x14ac:dyDescent="0.25">
      <c r="A572" s="9" t="s">
        <v>150</v>
      </c>
      <c r="B572" s="9" t="s">
        <v>150</v>
      </c>
      <c r="C572" s="4">
        <v>201003571</v>
      </c>
      <c r="D572" s="4"/>
      <c r="E572" s="4" t="str">
        <f>"071572010"</f>
        <v>071572010</v>
      </c>
      <c r="F572" s="10">
        <v>40324</v>
      </c>
      <c r="G572" s="11">
        <v>2816.02</v>
      </c>
      <c r="H572" s="11">
        <v>2816.02</v>
      </c>
      <c r="I572" s="4" t="s">
        <v>366</v>
      </c>
      <c r="J572" s="4" t="s">
        <v>367</v>
      </c>
      <c r="K572" s="11">
        <v>0</v>
      </c>
      <c r="L572" s="4"/>
      <c r="M572" s="4"/>
      <c r="N572" s="11">
        <v>0</v>
      </c>
      <c r="O572" s="4"/>
      <c r="P572" s="4"/>
      <c r="Q572" s="11">
        <v>0</v>
      </c>
      <c r="R572" s="4"/>
      <c r="S572" s="12"/>
    </row>
    <row r="573" spans="1:19" x14ac:dyDescent="0.25">
      <c r="A573" s="9" t="s">
        <v>150</v>
      </c>
      <c r="B573" s="9" t="s">
        <v>150</v>
      </c>
      <c r="C573" s="4">
        <v>201003594</v>
      </c>
      <c r="D573" s="4"/>
      <c r="E573" s="4" t="str">
        <f>"072232010"</f>
        <v>072232010</v>
      </c>
      <c r="F573" s="10">
        <v>40319</v>
      </c>
      <c r="G573" s="11">
        <v>3430.68</v>
      </c>
      <c r="H573" s="11">
        <v>3430.68</v>
      </c>
      <c r="I573" s="4" t="s">
        <v>366</v>
      </c>
      <c r="J573" s="4" t="s">
        <v>367</v>
      </c>
      <c r="K573" s="11">
        <v>0</v>
      </c>
      <c r="L573" s="4"/>
      <c r="M573" s="4"/>
      <c r="N573" s="11">
        <v>0</v>
      </c>
      <c r="O573" s="4"/>
      <c r="P573" s="4"/>
      <c r="Q573" s="11">
        <v>0</v>
      </c>
      <c r="R573" s="4"/>
      <c r="S573" s="12"/>
    </row>
    <row r="574" spans="1:19" x14ac:dyDescent="0.25">
      <c r="A574" s="9" t="s">
        <v>150</v>
      </c>
      <c r="B574" s="9" t="s">
        <v>150</v>
      </c>
      <c r="C574" s="4">
        <v>201003738</v>
      </c>
      <c r="D574" s="4"/>
      <c r="E574" s="4" t="str">
        <f>"088282010"</f>
        <v>088282010</v>
      </c>
      <c r="F574" s="10">
        <v>40367</v>
      </c>
      <c r="G574" s="11">
        <v>3344.65</v>
      </c>
      <c r="H574" s="11">
        <v>3344.65</v>
      </c>
      <c r="I574" s="4" t="s">
        <v>366</v>
      </c>
      <c r="J574" s="4" t="s">
        <v>367</v>
      </c>
      <c r="K574" s="11">
        <v>0</v>
      </c>
      <c r="L574" s="4"/>
      <c r="M574" s="4"/>
      <c r="N574" s="11">
        <v>0</v>
      </c>
      <c r="O574" s="4"/>
      <c r="P574" s="4"/>
      <c r="Q574" s="11">
        <v>0</v>
      </c>
      <c r="R574" s="4"/>
      <c r="S574" s="12"/>
    </row>
    <row r="575" spans="1:19" x14ac:dyDescent="0.25">
      <c r="A575" s="9" t="s">
        <v>150</v>
      </c>
      <c r="B575" s="9" t="s">
        <v>150</v>
      </c>
      <c r="C575" s="4">
        <v>201003741</v>
      </c>
      <c r="D575" s="4"/>
      <c r="E575" s="4" t="str">
        <f>"077752010"</f>
        <v>077752010</v>
      </c>
      <c r="F575" s="10">
        <v>40344</v>
      </c>
      <c r="G575" s="11">
        <v>500</v>
      </c>
      <c r="H575" s="11">
        <v>500</v>
      </c>
      <c r="I575" s="4" t="s">
        <v>1766</v>
      </c>
      <c r="J575" s="4" t="s">
        <v>1767</v>
      </c>
      <c r="K575" s="11">
        <v>0</v>
      </c>
      <c r="L575" s="4"/>
      <c r="M575" s="4"/>
      <c r="N575" s="11">
        <v>0</v>
      </c>
      <c r="O575" s="4"/>
      <c r="P575" s="4"/>
      <c r="Q575" s="11">
        <v>0</v>
      </c>
      <c r="R575" s="4"/>
      <c r="S575" s="12"/>
    </row>
    <row r="576" spans="1:19" x14ac:dyDescent="0.25">
      <c r="A576" s="9" t="s">
        <v>150</v>
      </c>
      <c r="B576" s="9" t="s">
        <v>150</v>
      </c>
      <c r="C576" s="4">
        <v>201003742</v>
      </c>
      <c r="D576" s="4"/>
      <c r="E576" s="4" t="str">
        <f>"075302010"</f>
        <v>075302010</v>
      </c>
      <c r="F576" s="10">
        <v>40338</v>
      </c>
      <c r="G576" s="11">
        <v>60</v>
      </c>
      <c r="H576" s="11">
        <v>60</v>
      </c>
      <c r="I576" s="4" t="s">
        <v>1766</v>
      </c>
      <c r="J576" s="4" t="s">
        <v>1767</v>
      </c>
      <c r="K576" s="11">
        <v>0</v>
      </c>
      <c r="L576" s="4"/>
      <c r="M576" s="4"/>
      <c r="N576" s="11">
        <v>0</v>
      </c>
      <c r="O576" s="4"/>
      <c r="P576" s="4"/>
      <c r="Q576" s="11">
        <v>0</v>
      </c>
      <c r="R576" s="4"/>
      <c r="S576" s="12"/>
    </row>
    <row r="577" spans="1:19" x14ac:dyDescent="0.25">
      <c r="A577" s="9" t="s">
        <v>150</v>
      </c>
      <c r="B577" s="9" t="s">
        <v>150</v>
      </c>
      <c r="C577" s="4">
        <v>201003814</v>
      </c>
      <c r="D577" s="4"/>
      <c r="E577" s="4" t="str">
        <f>"077772010"</f>
        <v>077772010</v>
      </c>
      <c r="F577" s="10">
        <v>40340</v>
      </c>
      <c r="G577" s="11">
        <v>3513.19</v>
      </c>
      <c r="H577" s="11">
        <v>3513.19</v>
      </c>
      <c r="I577" s="4" t="s">
        <v>366</v>
      </c>
      <c r="J577" s="4" t="s">
        <v>367</v>
      </c>
      <c r="K577" s="11">
        <v>0</v>
      </c>
      <c r="L577" s="4"/>
      <c r="M577" s="4"/>
      <c r="N577" s="11">
        <v>0</v>
      </c>
      <c r="O577" s="4"/>
      <c r="P577" s="4"/>
      <c r="Q577" s="11">
        <v>0</v>
      </c>
      <c r="R577" s="4"/>
      <c r="S577" s="12"/>
    </row>
    <row r="578" spans="1:19" x14ac:dyDescent="0.25">
      <c r="A578" s="9" t="s">
        <v>150</v>
      </c>
      <c r="B578" s="9" t="s">
        <v>150</v>
      </c>
      <c r="C578" s="4">
        <v>201003863</v>
      </c>
      <c r="D578" s="4"/>
      <c r="E578" s="4" t="str">
        <f>"078732010"</f>
        <v>078732010</v>
      </c>
      <c r="F578" s="10">
        <v>40357</v>
      </c>
      <c r="G578" s="11">
        <v>167.33</v>
      </c>
      <c r="H578" s="11">
        <v>167.33</v>
      </c>
      <c r="I578" s="4" t="s">
        <v>1766</v>
      </c>
      <c r="J578" s="4" t="s">
        <v>1767</v>
      </c>
      <c r="K578" s="11">
        <v>0</v>
      </c>
      <c r="L578" s="4"/>
      <c r="M578" s="4"/>
      <c r="N578" s="11">
        <v>0</v>
      </c>
      <c r="O578" s="4"/>
      <c r="P578" s="4"/>
      <c r="Q578" s="11">
        <v>0</v>
      </c>
      <c r="R578" s="4"/>
      <c r="S578" s="12"/>
    </row>
    <row r="579" spans="1:19" x14ac:dyDescent="0.25">
      <c r="A579" s="9" t="s">
        <v>150</v>
      </c>
      <c r="B579" s="9" t="s">
        <v>150</v>
      </c>
      <c r="C579" s="4">
        <v>201004026</v>
      </c>
      <c r="D579" s="4"/>
      <c r="E579" s="4" t="str">
        <f>"081722010"</f>
        <v>081722010</v>
      </c>
      <c r="F579" s="10">
        <v>40357</v>
      </c>
      <c r="G579" s="11">
        <v>216.56</v>
      </c>
      <c r="H579" s="11">
        <v>216.56</v>
      </c>
      <c r="I579" s="4" t="s">
        <v>1766</v>
      </c>
      <c r="J579" s="4" t="s">
        <v>1767</v>
      </c>
      <c r="K579" s="11">
        <v>0</v>
      </c>
      <c r="L579" s="4"/>
      <c r="M579" s="4"/>
      <c r="N579" s="11">
        <v>0</v>
      </c>
      <c r="O579" s="4"/>
      <c r="P579" s="4"/>
      <c r="Q579" s="11">
        <v>0</v>
      </c>
      <c r="R579" s="4"/>
      <c r="S579" s="12"/>
    </row>
    <row r="580" spans="1:19" x14ac:dyDescent="0.25">
      <c r="A580" s="9" t="s">
        <v>150</v>
      </c>
      <c r="B580" s="9" t="s">
        <v>150</v>
      </c>
      <c r="C580" s="4">
        <v>201004027</v>
      </c>
      <c r="D580" s="4"/>
      <c r="E580" s="4" t="str">
        <f>"081762010"</f>
        <v>081762010</v>
      </c>
      <c r="F580" s="10">
        <v>40354</v>
      </c>
      <c r="G580" s="11">
        <v>9643.1299999999992</v>
      </c>
      <c r="H580" s="11">
        <v>9643.1299999999992</v>
      </c>
      <c r="I580" s="4" t="s">
        <v>366</v>
      </c>
      <c r="J580" s="4" t="s">
        <v>367</v>
      </c>
      <c r="K580" s="11">
        <v>0</v>
      </c>
      <c r="L580" s="4"/>
      <c r="M580" s="4"/>
      <c r="N580" s="11">
        <v>0</v>
      </c>
      <c r="O580" s="4"/>
      <c r="P580" s="4"/>
      <c r="Q580" s="11">
        <v>0</v>
      </c>
      <c r="R580" s="4"/>
      <c r="S580" s="12"/>
    </row>
    <row r="581" spans="1:19" x14ac:dyDescent="0.25">
      <c r="A581" s="9" t="s">
        <v>150</v>
      </c>
      <c r="B581" s="9" t="s">
        <v>150</v>
      </c>
      <c r="C581" s="4">
        <v>201004030</v>
      </c>
      <c r="D581" s="4"/>
      <c r="E581" s="4" t="str">
        <f>"081782010"</f>
        <v>081782010</v>
      </c>
      <c r="F581" s="10">
        <v>40357</v>
      </c>
      <c r="G581" s="11">
        <v>201.71</v>
      </c>
      <c r="H581" s="11">
        <v>201.71</v>
      </c>
      <c r="I581" s="4" t="s">
        <v>1766</v>
      </c>
      <c r="J581" s="4" t="s">
        <v>1767</v>
      </c>
      <c r="K581" s="11">
        <v>0</v>
      </c>
      <c r="L581" s="4"/>
      <c r="M581" s="4"/>
      <c r="N581" s="11">
        <v>0</v>
      </c>
      <c r="O581" s="4"/>
      <c r="P581" s="4"/>
      <c r="Q581" s="11">
        <v>0</v>
      </c>
      <c r="R581" s="4"/>
      <c r="S581" s="12"/>
    </row>
    <row r="582" spans="1:19" x14ac:dyDescent="0.25">
      <c r="A582" s="9" t="s">
        <v>150</v>
      </c>
      <c r="B582" s="9" t="s">
        <v>150</v>
      </c>
      <c r="C582" s="4">
        <v>201004061</v>
      </c>
      <c r="D582" s="4"/>
      <c r="E582" s="4" t="str">
        <f>"081822010"</f>
        <v>081822010</v>
      </c>
      <c r="F582" s="10">
        <v>40354</v>
      </c>
      <c r="G582" s="11">
        <v>9144.64</v>
      </c>
      <c r="H582" s="11">
        <v>9144.64</v>
      </c>
      <c r="I582" s="4" t="s">
        <v>366</v>
      </c>
      <c r="J582" s="4" t="s">
        <v>367</v>
      </c>
      <c r="K582" s="11">
        <v>0</v>
      </c>
      <c r="L582" s="4"/>
      <c r="M582" s="4"/>
      <c r="N582" s="11">
        <v>0</v>
      </c>
      <c r="O582" s="4"/>
      <c r="P582" s="4"/>
      <c r="Q582" s="11">
        <v>0</v>
      </c>
      <c r="R582" s="4"/>
      <c r="S582" s="12"/>
    </row>
    <row r="583" spans="1:19" x14ac:dyDescent="0.25">
      <c r="A583" s="9" t="s">
        <v>150</v>
      </c>
      <c r="B583" s="9" t="s">
        <v>150</v>
      </c>
      <c r="C583" s="4">
        <v>201004090</v>
      </c>
      <c r="D583" s="4"/>
      <c r="E583" s="4" t="str">
        <f>"085622010"</f>
        <v>085622010</v>
      </c>
      <c r="F583" s="10">
        <v>40357</v>
      </c>
      <c r="G583" s="11">
        <v>1000</v>
      </c>
      <c r="H583" s="11">
        <v>1000</v>
      </c>
      <c r="I583" s="4" t="s">
        <v>1766</v>
      </c>
      <c r="J583" s="4" t="s">
        <v>1767</v>
      </c>
      <c r="K583" s="11">
        <v>0</v>
      </c>
      <c r="L583" s="4"/>
      <c r="M583" s="4"/>
      <c r="N583" s="11">
        <v>0</v>
      </c>
      <c r="O583" s="4"/>
      <c r="P583" s="4"/>
      <c r="Q583" s="11">
        <v>0</v>
      </c>
      <c r="R583" s="4"/>
      <c r="S583" s="12"/>
    </row>
    <row r="584" spans="1:19" x14ac:dyDescent="0.25">
      <c r="A584" s="9" t="s">
        <v>150</v>
      </c>
      <c r="B584" s="9" t="s">
        <v>150</v>
      </c>
      <c r="C584" s="4">
        <v>201004091</v>
      </c>
      <c r="D584" s="4"/>
      <c r="E584" s="4" t="str">
        <f>"085402010"</f>
        <v>085402010</v>
      </c>
      <c r="F584" s="10">
        <v>40357</v>
      </c>
      <c r="G584" s="11">
        <v>162.13</v>
      </c>
      <c r="H584" s="11">
        <v>162.13</v>
      </c>
      <c r="I584" s="4" t="s">
        <v>1766</v>
      </c>
      <c r="J584" s="4" t="s">
        <v>1767</v>
      </c>
      <c r="K584" s="11">
        <v>0</v>
      </c>
      <c r="L584" s="4"/>
      <c r="M584" s="4"/>
      <c r="N584" s="11">
        <v>0</v>
      </c>
      <c r="O584" s="4"/>
      <c r="P584" s="4"/>
      <c r="Q584" s="11">
        <v>0</v>
      </c>
      <c r="R584" s="4"/>
      <c r="S584" s="12"/>
    </row>
    <row r="585" spans="1:19" x14ac:dyDescent="0.25">
      <c r="A585" s="9" t="s">
        <v>150</v>
      </c>
      <c r="B585" s="9" t="s">
        <v>150</v>
      </c>
      <c r="C585" s="4">
        <v>201004092</v>
      </c>
      <c r="D585" s="4"/>
      <c r="E585" s="4" t="str">
        <f>"085422010"</f>
        <v>085422010</v>
      </c>
      <c r="F585" s="10">
        <v>40357</v>
      </c>
      <c r="G585" s="11">
        <v>459.25</v>
      </c>
      <c r="H585" s="11">
        <v>459.25</v>
      </c>
      <c r="I585" s="4" t="s">
        <v>1766</v>
      </c>
      <c r="J585" s="4" t="s">
        <v>1767</v>
      </c>
      <c r="K585" s="11">
        <v>0</v>
      </c>
      <c r="L585" s="4"/>
      <c r="M585" s="4"/>
      <c r="N585" s="11">
        <v>0</v>
      </c>
      <c r="O585" s="4"/>
      <c r="P585" s="4"/>
      <c r="Q585" s="11">
        <v>0</v>
      </c>
      <c r="R585" s="4"/>
      <c r="S585" s="12"/>
    </row>
    <row r="586" spans="1:19" x14ac:dyDescent="0.25">
      <c r="A586" s="9" t="s">
        <v>150</v>
      </c>
      <c r="B586" s="9" t="s">
        <v>150</v>
      </c>
      <c r="C586" s="4">
        <v>201004093</v>
      </c>
      <c r="D586" s="4"/>
      <c r="E586" s="4" t="str">
        <f>"086422010"</f>
        <v>086422010</v>
      </c>
      <c r="F586" s="10">
        <v>40357</v>
      </c>
      <c r="G586" s="11">
        <v>94.36</v>
      </c>
      <c r="H586" s="11">
        <v>94.36</v>
      </c>
      <c r="I586" s="4" t="s">
        <v>1766</v>
      </c>
      <c r="J586" s="4" t="s">
        <v>1767</v>
      </c>
      <c r="K586" s="11">
        <v>0</v>
      </c>
      <c r="L586" s="4"/>
      <c r="M586" s="4"/>
      <c r="N586" s="11">
        <v>0</v>
      </c>
      <c r="O586" s="4"/>
      <c r="P586" s="4"/>
      <c r="Q586" s="11">
        <v>0</v>
      </c>
      <c r="R586" s="4"/>
      <c r="S586" s="12"/>
    </row>
    <row r="587" spans="1:19" x14ac:dyDescent="0.25">
      <c r="A587" s="9" t="s">
        <v>150</v>
      </c>
      <c r="B587" s="9" t="s">
        <v>150</v>
      </c>
      <c r="C587" s="4">
        <v>201004104</v>
      </c>
      <c r="D587" s="4"/>
      <c r="E587" s="4" t="str">
        <f>"085822010"</f>
        <v>085822010</v>
      </c>
      <c r="F587" s="10">
        <v>40357</v>
      </c>
      <c r="G587" s="11">
        <v>514.88</v>
      </c>
      <c r="H587" s="11">
        <v>514.88</v>
      </c>
      <c r="I587" s="4" t="s">
        <v>1766</v>
      </c>
      <c r="J587" s="4" t="s">
        <v>1767</v>
      </c>
      <c r="K587" s="11">
        <v>0</v>
      </c>
      <c r="L587" s="4"/>
      <c r="M587" s="4"/>
      <c r="N587" s="11">
        <v>0</v>
      </c>
      <c r="O587" s="4"/>
      <c r="P587" s="4"/>
      <c r="Q587" s="11">
        <v>0</v>
      </c>
      <c r="R587" s="4"/>
      <c r="S587" s="12"/>
    </row>
    <row r="588" spans="1:19" x14ac:dyDescent="0.25">
      <c r="A588" s="9" t="s">
        <v>150</v>
      </c>
      <c r="B588" s="9" t="s">
        <v>150</v>
      </c>
      <c r="C588" s="4">
        <v>201004145</v>
      </c>
      <c r="D588" s="4" t="s">
        <v>1799</v>
      </c>
      <c r="E588" s="4" t="str">
        <f>"082612010"</f>
        <v>082612010</v>
      </c>
      <c r="F588" s="10">
        <v>40347</v>
      </c>
      <c r="G588" s="11">
        <v>20000</v>
      </c>
      <c r="H588" s="11">
        <v>20000</v>
      </c>
      <c r="I588" s="4" t="s">
        <v>366</v>
      </c>
      <c r="J588" s="4" t="s">
        <v>367</v>
      </c>
      <c r="K588" s="11">
        <v>0</v>
      </c>
      <c r="L588" s="4"/>
      <c r="M588" s="4"/>
      <c r="N588" s="11">
        <v>0</v>
      </c>
      <c r="O588" s="4"/>
      <c r="P588" s="4"/>
      <c r="Q588" s="11">
        <v>0</v>
      </c>
      <c r="R588" s="4"/>
      <c r="S588" s="12"/>
    </row>
    <row r="589" spans="1:19" x14ac:dyDescent="0.25">
      <c r="A589" s="9" t="s">
        <v>150</v>
      </c>
      <c r="B589" s="9" t="s">
        <v>150</v>
      </c>
      <c r="C589" s="4">
        <v>201004212</v>
      </c>
      <c r="D589" s="4"/>
      <c r="E589" s="4" t="str">
        <f>"083842010"</f>
        <v>083842010</v>
      </c>
      <c r="F589" s="10">
        <v>40357</v>
      </c>
      <c r="G589" s="11">
        <v>1000</v>
      </c>
      <c r="H589" s="11">
        <v>1000</v>
      </c>
      <c r="I589" s="4" t="s">
        <v>1766</v>
      </c>
      <c r="J589" s="4" t="s">
        <v>1767</v>
      </c>
      <c r="K589" s="11">
        <v>0</v>
      </c>
      <c r="L589" s="4"/>
      <c r="M589" s="4"/>
      <c r="N589" s="11">
        <v>0</v>
      </c>
      <c r="O589" s="4"/>
      <c r="P589" s="4"/>
      <c r="Q589" s="11">
        <v>0</v>
      </c>
      <c r="R589" s="4"/>
      <c r="S589" s="12"/>
    </row>
    <row r="590" spans="1:19" x14ac:dyDescent="0.25">
      <c r="A590" s="9" t="s">
        <v>150</v>
      </c>
      <c r="B590" s="9" t="s">
        <v>150</v>
      </c>
      <c r="C590" s="4">
        <v>201004229</v>
      </c>
      <c r="D590" s="4"/>
      <c r="E590" s="4" t="str">
        <f>"086302010"</f>
        <v>086302010</v>
      </c>
      <c r="F590" s="10">
        <v>40357</v>
      </c>
      <c r="G590" s="11">
        <v>297.38</v>
      </c>
      <c r="H590" s="11">
        <v>297.38</v>
      </c>
      <c r="I590" s="4" t="s">
        <v>1766</v>
      </c>
      <c r="J590" s="4" t="s">
        <v>1767</v>
      </c>
      <c r="K590" s="11">
        <v>0</v>
      </c>
      <c r="L590" s="4"/>
      <c r="M590" s="4"/>
      <c r="N590" s="11">
        <v>0</v>
      </c>
      <c r="O590" s="4"/>
      <c r="P590" s="4"/>
      <c r="Q590" s="11">
        <v>0</v>
      </c>
      <c r="R590" s="4"/>
      <c r="S590" s="12"/>
    </row>
    <row r="591" spans="1:19" x14ac:dyDescent="0.25">
      <c r="A591" s="9" t="s">
        <v>150</v>
      </c>
      <c r="B591" s="9" t="s">
        <v>945</v>
      </c>
      <c r="C591" s="4">
        <v>201004239</v>
      </c>
      <c r="D591" s="4"/>
      <c r="E591" s="4" t="str">
        <f>"084542010"</f>
        <v>084542010</v>
      </c>
      <c r="F591" s="10">
        <v>40354</v>
      </c>
      <c r="G591" s="11">
        <v>7362.14</v>
      </c>
      <c r="H591" s="11">
        <v>7362.14</v>
      </c>
      <c r="I591" s="4" t="s">
        <v>366</v>
      </c>
      <c r="J591" s="4" t="s">
        <v>367</v>
      </c>
      <c r="K591" s="11">
        <v>0</v>
      </c>
      <c r="L591" s="4"/>
      <c r="M591" s="4"/>
      <c r="N591" s="11">
        <v>0</v>
      </c>
      <c r="O591" s="4"/>
      <c r="P591" s="4"/>
      <c r="Q591" s="11">
        <v>0</v>
      </c>
      <c r="R591" s="4"/>
      <c r="S591" s="12"/>
    </row>
    <row r="592" spans="1:19" x14ac:dyDescent="0.25">
      <c r="A592" s="9" t="s">
        <v>150</v>
      </c>
      <c r="B592" s="9" t="s">
        <v>150</v>
      </c>
      <c r="C592" s="4">
        <v>201004266</v>
      </c>
      <c r="D592" s="4"/>
      <c r="E592" s="4" t="str">
        <f>"086182010"</f>
        <v>086182010</v>
      </c>
      <c r="F592" s="10">
        <v>40354</v>
      </c>
      <c r="G592" s="11">
        <v>505.39</v>
      </c>
      <c r="H592" s="11">
        <v>505.39</v>
      </c>
      <c r="I592" s="4" t="s">
        <v>1766</v>
      </c>
      <c r="J592" s="4" t="s">
        <v>1767</v>
      </c>
      <c r="K592" s="11">
        <v>0</v>
      </c>
      <c r="L592" s="4"/>
      <c r="M592" s="4"/>
      <c r="N592" s="11">
        <v>0</v>
      </c>
      <c r="O592" s="4"/>
      <c r="P592" s="4"/>
      <c r="Q592" s="11">
        <v>0</v>
      </c>
      <c r="R592" s="4"/>
      <c r="S592" s="12"/>
    </row>
    <row r="593" spans="1:19" x14ac:dyDescent="0.25">
      <c r="A593" s="9" t="s">
        <v>150</v>
      </c>
      <c r="B593" s="9" t="s">
        <v>150</v>
      </c>
      <c r="C593" s="4">
        <v>201004322</v>
      </c>
      <c r="D593" s="4"/>
      <c r="E593" s="4" t="str">
        <f>"087362010"</f>
        <v>087362010</v>
      </c>
      <c r="F593" s="10">
        <v>40358</v>
      </c>
      <c r="G593" s="11">
        <v>115.55</v>
      </c>
      <c r="H593" s="11">
        <v>115.55</v>
      </c>
      <c r="I593" s="4" t="s">
        <v>1766</v>
      </c>
      <c r="J593" s="4" t="s">
        <v>1767</v>
      </c>
      <c r="K593" s="11">
        <v>0</v>
      </c>
      <c r="L593" s="4"/>
      <c r="M593" s="4"/>
      <c r="N593" s="11">
        <v>0</v>
      </c>
      <c r="O593" s="4"/>
      <c r="P593" s="4"/>
      <c r="Q593" s="11">
        <v>0</v>
      </c>
      <c r="R593" s="4"/>
      <c r="S593" s="12"/>
    </row>
    <row r="594" spans="1:19" x14ac:dyDescent="0.25">
      <c r="A594" s="9" t="s">
        <v>150</v>
      </c>
      <c r="B594" s="9" t="s">
        <v>150</v>
      </c>
      <c r="C594" s="4">
        <v>201004323</v>
      </c>
      <c r="D594" s="4"/>
      <c r="E594" s="4" t="str">
        <f>"087382010"</f>
        <v>087382010</v>
      </c>
      <c r="F594" s="10">
        <v>40358</v>
      </c>
      <c r="G594" s="11">
        <v>113.7</v>
      </c>
      <c r="H594" s="11">
        <v>113.7</v>
      </c>
      <c r="I594" s="4" t="s">
        <v>1766</v>
      </c>
      <c r="J594" s="4" t="s">
        <v>1767</v>
      </c>
      <c r="K594" s="11">
        <v>0</v>
      </c>
      <c r="L594" s="4"/>
      <c r="M594" s="4"/>
      <c r="N594" s="11">
        <v>0</v>
      </c>
      <c r="O594" s="4"/>
      <c r="P594" s="4"/>
      <c r="Q594" s="11">
        <v>0</v>
      </c>
      <c r="R594" s="4"/>
      <c r="S594" s="12"/>
    </row>
    <row r="595" spans="1:19" x14ac:dyDescent="0.25">
      <c r="A595" s="9" t="s">
        <v>150</v>
      </c>
      <c r="B595" s="9" t="s">
        <v>150</v>
      </c>
      <c r="C595" s="4">
        <v>201004324</v>
      </c>
      <c r="D595" s="4"/>
      <c r="E595" s="4" t="str">
        <f>"087402010"</f>
        <v>087402010</v>
      </c>
      <c r="F595" s="10">
        <v>40358</v>
      </c>
      <c r="G595" s="11">
        <v>98.83</v>
      </c>
      <c r="H595" s="11">
        <v>98.83</v>
      </c>
      <c r="I595" s="4" t="s">
        <v>1766</v>
      </c>
      <c r="J595" s="4" t="s">
        <v>1767</v>
      </c>
      <c r="K595" s="11">
        <v>0</v>
      </c>
      <c r="L595" s="4"/>
      <c r="M595" s="4"/>
      <c r="N595" s="11">
        <v>0</v>
      </c>
      <c r="O595" s="4"/>
      <c r="P595" s="4"/>
      <c r="Q595" s="11">
        <v>0</v>
      </c>
      <c r="R595" s="4"/>
      <c r="S595" s="12"/>
    </row>
    <row r="596" spans="1:19" x14ac:dyDescent="0.25">
      <c r="A596" s="9" t="s">
        <v>150</v>
      </c>
      <c r="B596" s="9" t="s">
        <v>150</v>
      </c>
      <c r="C596" s="4">
        <v>201004360</v>
      </c>
      <c r="D596" s="4"/>
      <c r="E596" s="4" t="str">
        <f>"087122010"</f>
        <v>087122010</v>
      </c>
      <c r="F596" s="10">
        <v>40357</v>
      </c>
      <c r="G596" s="11">
        <v>14.08</v>
      </c>
      <c r="H596" s="11">
        <v>14.08</v>
      </c>
      <c r="I596" s="4" t="s">
        <v>1766</v>
      </c>
      <c r="J596" s="4" t="s">
        <v>1767</v>
      </c>
      <c r="K596" s="11">
        <v>0</v>
      </c>
      <c r="L596" s="4"/>
      <c r="M596" s="4"/>
      <c r="N596" s="11">
        <v>0</v>
      </c>
      <c r="O596" s="4"/>
      <c r="P596" s="4"/>
      <c r="Q596" s="11">
        <v>0</v>
      </c>
      <c r="R596" s="4"/>
      <c r="S596" s="12"/>
    </row>
    <row r="597" spans="1:19" x14ac:dyDescent="0.25">
      <c r="A597" s="9" t="s">
        <v>150</v>
      </c>
      <c r="B597" s="9" t="s">
        <v>150</v>
      </c>
      <c r="C597" s="4">
        <v>201004430</v>
      </c>
      <c r="D597" s="4"/>
      <c r="E597" s="4" t="str">
        <f>"097262010"</f>
        <v>097262010</v>
      </c>
      <c r="F597" s="10">
        <v>40394</v>
      </c>
      <c r="G597" s="11">
        <v>5415.64</v>
      </c>
      <c r="H597" s="11">
        <v>5415.64</v>
      </c>
      <c r="I597" s="4" t="s">
        <v>366</v>
      </c>
      <c r="J597" s="4" t="s">
        <v>367</v>
      </c>
      <c r="K597" s="11">
        <v>0</v>
      </c>
      <c r="L597" s="4"/>
      <c r="M597" s="4"/>
      <c r="N597" s="11">
        <v>0</v>
      </c>
      <c r="O597" s="4"/>
      <c r="P597" s="4"/>
      <c r="Q597" s="11">
        <v>0</v>
      </c>
      <c r="R597" s="4"/>
      <c r="S597" s="12"/>
    </row>
    <row r="598" spans="1:19" x14ac:dyDescent="0.25">
      <c r="A598" s="9" t="s">
        <v>150</v>
      </c>
      <c r="B598" s="9" t="s">
        <v>150</v>
      </c>
      <c r="C598" s="4">
        <v>201004431</v>
      </c>
      <c r="D598" s="4"/>
      <c r="E598" s="4" t="str">
        <f>"088862010"</f>
        <v>088862010</v>
      </c>
      <c r="F598" s="10">
        <v>40366</v>
      </c>
      <c r="G598" s="11">
        <v>92</v>
      </c>
      <c r="H598" s="11">
        <v>92</v>
      </c>
      <c r="I598" s="4" t="s">
        <v>1766</v>
      </c>
      <c r="J598" s="4" t="s">
        <v>1767</v>
      </c>
      <c r="K598" s="11">
        <v>0</v>
      </c>
      <c r="L598" s="4"/>
      <c r="M598" s="4"/>
      <c r="N598" s="11">
        <v>0</v>
      </c>
      <c r="O598" s="4"/>
      <c r="P598" s="4"/>
      <c r="Q598" s="11">
        <v>0</v>
      </c>
      <c r="R598" s="4"/>
      <c r="S598" s="12"/>
    </row>
    <row r="599" spans="1:19" x14ac:dyDescent="0.25">
      <c r="A599" s="9" t="s">
        <v>150</v>
      </c>
      <c r="B599" s="9" t="s">
        <v>150</v>
      </c>
      <c r="C599" s="4">
        <v>201004432</v>
      </c>
      <c r="D599" s="4"/>
      <c r="E599" s="4" t="str">
        <f>"088822010"</f>
        <v>088822010</v>
      </c>
      <c r="F599" s="10">
        <v>40366</v>
      </c>
      <c r="G599" s="11">
        <v>1000</v>
      </c>
      <c r="H599" s="11">
        <v>1000</v>
      </c>
      <c r="I599" s="4" t="s">
        <v>1766</v>
      </c>
      <c r="J599" s="4" t="s">
        <v>1767</v>
      </c>
      <c r="K599" s="11">
        <v>0</v>
      </c>
      <c r="L599" s="4"/>
      <c r="M599" s="4"/>
      <c r="N599" s="11">
        <v>0</v>
      </c>
      <c r="O599" s="4"/>
      <c r="P599" s="4"/>
      <c r="Q599" s="11">
        <v>0</v>
      </c>
      <c r="R599" s="4"/>
      <c r="S599" s="12"/>
    </row>
    <row r="600" spans="1:19" x14ac:dyDescent="0.25">
      <c r="A600" s="9" t="s">
        <v>150</v>
      </c>
      <c r="B600" s="9" t="s">
        <v>150</v>
      </c>
      <c r="C600" s="4">
        <v>201004433</v>
      </c>
      <c r="D600" s="4"/>
      <c r="E600" s="4" t="str">
        <f>"088802010"</f>
        <v>088802010</v>
      </c>
      <c r="F600" s="10">
        <v>40366</v>
      </c>
      <c r="G600" s="11">
        <v>186.16</v>
      </c>
      <c r="H600" s="11">
        <v>186.16</v>
      </c>
      <c r="I600" s="4" t="s">
        <v>1766</v>
      </c>
      <c r="J600" s="4" t="s">
        <v>1767</v>
      </c>
      <c r="K600" s="11">
        <v>0</v>
      </c>
      <c r="L600" s="4"/>
      <c r="M600" s="4"/>
      <c r="N600" s="11">
        <v>0</v>
      </c>
      <c r="O600" s="4"/>
      <c r="P600" s="4"/>
      <c r="Q600" s="11">
        <v>0</v>
      </c>
      <c r="R600" s="4"/>
      <c r="S600" s="12"/>
    </row>
    <row r="601" spans="1:19" x14ac:dyDescent="0.25">
      <c r="A601" s="9" t="s">
        <v>150</v>
      </c>
      <c r="B601" s="9" t="s">
        <v>150</v>
      </c>
      <c r="C601" s="4">
        <v>201004448</v>
      </c>
      <c r="D601" s="4"/>
      <c r="E601" s="4" t="str">
        <f>"091082010"</f>
        <v>091082010</v>
      </c>
      <c r="F601" s="10">
        <v>40368</v>
      </c>
      <c r="G601" s="11">
        <v>1000</v>
      </c>
      <c r="H601" s="11">
        <v>1000</v>
      </c>
      <c r="I601" s="4" t="s">
        <v>1766</v>
      </c>
      <c r="J601" s="4" t="s">
        <v>1767</v>
      </c>
      <c r="K601" s="11">
        <v>0</v>
      </c>
      <c r="L601" s="4"/>
      <c r="M601" s="4"/>
      <c r="N601" s="11">
        <v>0</v>
      </c>
      <c r="O601" s="4"/>
      <c r="P601" s="4"/>
      <c r="Q601" s="11">
        <v>0</v>
      </c>
      <c r="R601" s="4"/>
      <c r="S601" s="12"/>
    </row>
    <row r="602" spans="1:19" x14ac:dyDescent="0.25">
      <c r="A602" s="9" t="s">
        <v>150</v>
      </c>
      <c r="B602" s="9" t="s">
        <v>150</v>
      </c>
      <c r="C602" s="4">
        <v>201004462</v>
      </c>
      <c r="D602" s="4"/>
      <c r="E602" s="4" t="str">
        <f>"089642010"</f>
        <v>089642010</v>
      </c>
      <c r="F602" s="10">
        <v>40367</v>
      </c>
      <c r="G602" s="11">
        <v>21534.17</v>
      </c>
      <c r="H602" s="11">
        <v>21534.17</v>
      </c>
      <c r="I602" s="4" t="s">
        <v>366</v>
      </c>
      <c r="J602" s="4" t="s">
        <v>367</v>
      </c>
      <c r="K602" s="11">
        <v>0</v>
      </c>
      <c r="L602" s="4"/>
      <c r="M602" s="4"/>
      <c r="N602" s="11">
        <v>0</v>
      </c>
      <c r="O602" s="4"/>
      <c r="P602" s="4"/>
      <c r="Q602" s="11">
        <v>0</v>
      </c>
      <c r="R602" s="4"/>
      <c r="S602" s="12"/>
    </row>
    <row r="603" spans="1:19" x14ac:dyDescent="0.25">
      <c r="A603" s="9" t="s">
        <v>150</v>
      </c>
      <c r="B603" s="9" t="s">
        <v>150</v>
      </c>
      <c r="C603" s="4">
        <v>201004480</v>
      </c>
      <c r="D603" s="4"/>
      <c r="E603" s="4" t="str">
        <f>"089942010"</f>
        <v>089942010</v>
      </c>
      <c r="F603" s="10">
        <v>40367</v>
      </c>
      <c r="G603" s="11">
        <v>134.32</v>
      </c>
      <c r="H603" s="11">
        <v>134.32</v>
      </c>
      <c r="I603" s="4" t="s">
        <v>1766</v>
      </c>
      <c r="J603" s="4" t="s">
        <v>1767</v>
      </c>
      <c r="K603" s="11">
        <v>0</v>
      </c>
      <c r="L603" s="4"/>
      <c r="M603" s="4"/>
      <c r="N603" s="11">
        <v>0</v>
      </c>
      <c r="O603" s="4"/>
      <c r="P603" s="4"/>
      <c r="Q603" s="11">
        <v>0</v>
      </c>
      <c r="R603" s="4"/>
      <c r="S603" s="12"/>
    </row>
    <row r="604" spans="1:19" x14ac:dyDescent="0.25">
      <c r="A604" s="9" t="s">
        <v>150</v>
      </c>
      <c r="B604" s="9" t="s">
        <v>150</v>
      </c>
      <c r="C604" s="4">
        <v>201004482</v>
      </c>
      <c r="D604" s="4"/>
      <c r="E604" s="4" t="str">
        <f>"089982010"</f>
        <v>089982010</v>
      </c>
      <c r="F604" s="10">
        <v>40367</v>
      </c>
      <c r="G604" s="11">
        <v>0</v>
      </c>
      <c r="H604" s="11">
        <v>131</v>
      </c>
      <c r="I604" s="4" t="s">
        <v>1766</v>
      </c>
      <c r="J604" s="4" t="s">
        <v>1767</v>
      </c>
      <c r="K604" s="11">
        <v>0</v>
      </c>
      <c r="L604" s="4"/>
      <c r="M604" s="4"/>
      <c r="N604" s="11">
        <v>0</v>
      </c>
      <c r="O604" s="4"/>
      <c r="P604" s="4"/>
      <c r="Q604" s="11">
        <v>0</v>
      </c>
      <c r="R604" s="4"/>
      <c r="S604" s="12"/>
    </row>
    <row r="605" spans="1:19" x14ac:dyDescent="0.25">
      <c r="A605" s="9" t="s">
        <v>150</v>
      </c>
      <c r="B605" s="9" t="s">
        <v>150</v>
      </c>
      <c r="C605" s="4">
        <v>201004634</v>
      </c>
      <c r="D605" s="4"/>
      <c r="E605" s="4" t="str">
        <f>"093222010"</f>
        <v>093222010</v>
      </c>
      <c r="F605" s="10">
        <v>40374</v>
      </c>
      <c r="G605" s="11">
        <v>217.35</v>
      </c>
      <c r="H605" s="11">
        <v>217.35</v>
      </c>
      <c r="I605" s="4" t="s">
        <v>1766</v>
      </c>
      <c r="J605" s="4" t="s">
        <v>1767</v>
      </c>
      <c r="K605" s="11">
        <v>0</v>
      </c>
      <c r="L605" s="4"/>
      <c r="M605" s="4"/>
      <c r="N605" s="11">
        <v>0</v>
      </c>
      <c r="O605" s="4"/>
      <c r="P605" s="4"/>
      <c r="Q605" s="11">
        <v>0</v>
      </c>
      <c r="R605" s="4"/>
      <c r="S605" s="12"/>
    </row>
    <row r="606" spans="1:19" x14ac:dyDescent="0.25">
      <c r="A606" s="9" t="s">
        <v>150</v>
      </c>
      <c r="B606" s="9" t="s">
        <v>945</v>
      </c>
      <c r="C606" s="4">
        <v>201004636</v>
      </c>
      <c r="D606" s="4"/>
      <c r="E606" s="4" t="str">
        <f>"092482010"</f>
        <v>092482010</v>
      </c>
      <c r="F606" s="10">
        <v>40373</v>
      </c>
      <c r="G606" s="11">
        <v>3048.54</v>
      </c>
      <c r="H606" s="11">
        <v>3048.54</v>
      </c>
      <c r="I606" s="4" t="s">
        <v>366</v>
      </c>
      <c r="J606" s="4" t="s">
        <v>367</v>
      </c>
      <c r="K606" s="11">
        <v>0</v>
      </c>
      <c r="L606" s="4"/>
      <c r="M606" s="4"/>
      <c r="N606" s="11">
        <v>0</v>
      </c>
      <c r="O606" s="4"/>
      <c r="P606" s="4"/>
      <c r="Q606" s="11">
        <v>0</v>
      </c>
      <c r="R606" s="4"/>
      <c r="S606" s="12"/>
    </row>
    <row r="607" spans="1:19" x14ac:dyDescent="0.25">
      <c r="A607" s="9" t="s">
        <v>150</v>
      </c>
      <c r="B607" s="9" t="s">
        <v>150</v>
      </c>
      <c r="C607" s="4">
        <v>201004668</v>
      </c>
      <c r="D607" s="4"/>
      <c r="E607" s="4" t="str">
        <f>"093202010"</f>
        <v>093202010</v>
      </c>
      <c r="F607" s="10">
        <v>40374</v>
      </c>
      <c r="G607" s="11">
        <v>383.75</v>
      </c>
      <c r="H607" s="11">
        <v>383.75</v>
      </c>
      <c r="I607" s="4" t="s">
        <v>1766</v>
      </c>
      <c r="J607" s="4" t="s">
        <v>1767</v>
      </c>
      <c r="K607" s="11">
        <v>0</v>
      </c>
      <c r="L607" s="4"/>
      <c r="M607" s="4"/>
      <c r="N607" s="11">
        <v>0</v>
      </c>
      <c r="O607" s="4"/>
      <c r="P607" s="4"/>
      <c r="Q607" s="11">
        <v>0</v>
      </c>
      <c r="R607" s="4"/>
      <c r="S607" s="12"/>
    </row>
    <row r="608" spans="1:19" x14ac:dyDescent="0.25">
      <c r="A608" s="9" t="s">
        <v>150</v>
      </c>
      <c r="B608" s="9" t="s">
        <v>150</v>
      </c>
      <c r="C608" s="4">
        <v>201004679</v>
      </c>
      <c r="D608" s="4"/>
      <c r="E608" s="4" t="str">
        <f>"093702010"</f>
        <v>093702010</v>
      </c>
      <c r="F608" s="10">
        <v>40375</v>
      </c>
      <c r="G608" s="11">
        <v>3016.11</v>
      </c>
      <c r="H608" s="11">
        <v>3016.11</v>
      </c>
      <c r="I608" s="4" t="s">
        <v>366</v>
      </c>
      <c r="J608" s="4" t="s">
        <v>367</v>
      </c>
      <c r="K608" s="11">
        <v>0</v>
      </c>
      <c r="L608" s="4"/>
      <c r="M608" s="4"/>
      <c r="N608" s="11">
        <v>0</v>
      </c>
      <c r="O608" s="4"/>
      <c r="P608" s="4"/>
      <c r="Q608" s="11">
        <v>0</v>
      </c>
      <c r="R608" s="4"/>
      <c r="S608" s="12"/>
    </row>
    <row r="609" spans="1:19" x14ac:dyDescent="0.25">
      <c r="A609" s="9" t="s">
        <v>150</v>
      </c>
      <c r="B609" s="9" t="s">
        <v>150</v>
      </c>
      <c r="C609" s="4">
        <v>201004696</v>
      </c>
      <c r="D609" s="4"/>
      <c r="E609" s="4" t="str">
        <f>"094502010"</f>
        <v>094502010</v>
      </c>
      <c r="F609" s="10">
        <v>40381</v>
      </c>
      <c r="G609" s="11">
        <v>122.25</v>
      </c>
      <c r="H609" s="11">
        <v>122.25</v>
      </c>
      <c r="I609" s="4" t="s">
        <v>1766</v>
      </c>
      <c r="J609" s="4" t="s">
        <v>1767</v>
      </c>
      <c r="K609" s="11">
        <v>0</v>
      </c>
      <c r="L609" s="4"/>
      <c r="M609" s="4"/>
      <c r="N609" s="11">
        <v>0</v>
      </c>
      <c r="O609" s="4"/>
      <c r="P609" s="4"/>
      <c r="Q609" s="11">
        <v>0</v>
      </c>
      <c r="R609" s="4"/>
      <c r="S609" s="12"/>
    </row>
    <row r="610" spans="1:19" x14ac:dyDescent="0.25">
      <c r="A610" s="9" t="s">
        <v>150</v>
      </c>
      <c r="B610" s="9" t="s">
        <v>150</v>
      </c>
      <c r="C610" s="4">
        <v>201004803</v>
      </c>
      <c r="D610" s="4"/>
      <c r="E610" s="4" t="str">
        <f>"099572010"</f>
        <v>099572010</v>
      </c>
      <c r="F610" s="10">
        <v>40401</v>
      </c>
      <c r="G610" s="11">
        <v>3553.46</v>
      </c>
      <c r="H610" s="11">
        <v>3553.46</v>
      </c>
      <c r="I610" s="4" t="s">
        <v>366</v>
      </c>
      <c r="J610" s="4" t="s">
        <v>367</v>
      </c>
      <c r="K610" s="11">
        <v>0</v>
      </c>
      <c r="L610" s="4"/>
      <c r="M610" s="4"/>
      <c r="N610" s="11">
        <v>0</v>
      </c>
      <c r="O610" s="4"/>
      <c r="P610" s="4"/>
      <c r="Q610" s="11">
        <v>0</v>
      </c>
      <c r="R610" s="4"/>
      <c r="S610" s="12"/>
    </row>
    <row r="611" spans="1:19" x14ac:dyDescent="0.25">
      <c r="A611" s="9" t="s">
        <v>150</v>
      </c>
      <c r="B611" s="9" t="s">
        <v>150</v>
      </c>
      <c r="C611" s="4">
        <v>201004806</v>
      </c>
      <c r="D611" s="4"/>
      <c r="E611" s="4" t="str">
        <f>"096432010"</f>
        <v>096432010</v>
      </c>
      <c r="F611" s="10">
        <v>40394</v>
      </c>
      <c r="G611" s="11">
        <v>435.75</v>
      </c>
      <c r="H611" s="11">
        <v>435.75</v>
      </c>
      <c r="I611" s="4" t="s">
        <v>1766</v>
      </c>
      <c r="J611" s="4" t="s">
        <v>1767</v>
      </c>
      <c r="K611" s="11">
        <v>0</v>
      </c>
      <c r="L611" s="4"/>
      <c r="M611" s="4"/>
      <c r="N611" s="11">
        <v>0</v>
      </c>
      <c r="O611" s="4"/>
      <c r="P611" s="4"/>
      <c r="Q611" s="11">
        <v>0</v>
      </c>
      <c r="R611" s="4"/>
      <c r="S611" s="12"/>
    </row>
    <row r="612" spans="1:19" x14ac:dyDescent="0.25">
      <c r="A612" s="9" t="s">
        <v>150</v>
      </c>
      <c r="B612" s="9" t="s">
        <v>150</v>
      </c>
      <c r="C612" s="4">
        <v>201004809</v>
      </c>
      <c r="D612" s="4"/>
      <c r="E612" s="4" t="str">
        <f>"096412010"</f>
        <v>096412010</v>
      </c>
      <c r="F612" s="10">
        <v>40394</v>
      </c>
      <c r="G612" s="11">
        <v>391.29</v>
      </c>
      <c r="H612" s="11">
        <v>391.29</v>
      </c>
      <c r="I612" s="4" t="s">
        <v>1766</v>
      </c>
      <c r="J612" s="4" t="s">
        <v>1767</v>
      </c>
      <c r="K612" s="11">
        <v>0</v>
      </c>
      <c r="L612" s="4"/>
      <c r="M612" s="4"/>
      <c r="N612" s="11">
        <v>0</v>
      </c>
      <c r="O612" s="4"/>
      <c r="P612" s="4"/>
      <c r="Q612" s="11">
        <v>0</v>
      </c>
      <c r="R612" s="4"/>
      <c r="S612" s="12"/>
    </row>
    <row r="613" spans="1:19" x14ac:dyDescent="0.25">
      <c r="A613" s="9" t="s">
        <v>150</v>
      </c>
      <c r="B613" s="9" t="s">
        <v>150</v>
      </c>
      <c r="C613" s="4">
        <v>201004872</v>
      </c>
      <c r="D613" s="4"/>
      <c r="E613" s="4" t="str">
        <f>"097992010"</f>
        <v>097992010</v>
      </c>
      <c r="F613" s="10">
        <v>40393</v>
      </c>
      <c r="G613" s="11">
        <v>909.06</v>
      </c>
      <c r="H613" s="11">
        <v>909.06</v>
      </c>
      <c r="I613" s="4" t="s">
        <v>1766</v>
      </c>
      <c r="J613" s="4" t="s">
        <v>1767</v>
      </c>
      <c r="K613" s="11">
        <v>0</v>
      </c>
      <c r="L613" s="4"/>
      <c r="M613" s="4"/>
      <c r="N613" s="11">
        <v>0</v>
      </c>
      <c r="O613" s="4"/>
      <c r="P613" s="4"/>
      <c r="Q613" s="11">
        <v>0</v>
      </c>
      <c r="R613" s="4"/>
      <c r="S613" s="12"/>
    </row>
    <row r="614" spans="1:19" x14ac:dyDescent="0.25">
      <c r="A614" s="9" t="s">
        <v>150</v>
      </c>
      <c r="B614" s="9" t="s">
        <v>150</v>
      </c>
      <c r="C614" s="4">
        <v>201004927</v>
      </c>
      <c r="D614" s="4"/>
      <c r="E614" s="4" t="str">
        <f>"099082010"</f>
        <v>099082010</v>
      </c>
      <c r="F614" s="10">
        <v>40396</v>
      </c>
      <c r="G614" s="11">
        <v>3188.63</v>
      </c>
      <c r="H614" s="11">
        <v>3188.63</v>
      </c>
      <c r="I614" s="4" t="s">
        <v>366</v>
      </c>
      <c r="J614" s="4" t="s">
        <v>367</v>
      </c>
      <c r="K614" s="11">
        <v>0</v>
      </c>
      <c r="L614" s="4"/>
      <c r="M614" s="4"/>
      <c r="N614" s="11">
        <v>0</v>
      </c>
      <c r="O614" s="4"/>
      <c r="P614" s="4"/>
      <c r="Q614" s="11">
        <v>0</v>
      </c>
      <c r="R614" s="4"/>
      <c r="S614" s="12"/>
    </row>
    <row r="615" spans="1:19" x14ac:dyDescent="0.25">
      <c r="A615" s="9" t="s">
        <v>150</v>
      </c>
      <c r="B615" s="9" t="s">
        <v>150</v>
      </c>
      <c r="C615" s="4">
        <v>201004953</v>
      </c>
      <c r="D615" s="4"/>
      <c r="E615" s="4" t="str">
        <f>"099102010"</f>
        <v>099102010</v>
      </c>
      <c r="F615" s="10">
        <v>40394</v>
      </c>
      <c r="G615" s="11">
        <v>76.680000000000007</v>
      </c>
      <c r="H615" s="11">
        <v>76.680000000000007</v>
      </c>
      <c r="I615" s="4" t="s">
        <v>1766</v>
      </c>
      <c r="J615" s="4" t="s">
        <v>1767</v>
      </c>
      <c r="K615" s="11">
        <v>0</v>
      </c>
      <c r="L615" s="4"/>
      <c r="M615" s="4"/>
      <c r="N615" s="11">
        <v>0</v>
      </c>
      <c r="O615" s="4"/>
      <c r="P615" s="4"/>
      <c r="Q615" s="11">
        <v>0</v>
      </c>
      <c r="R615" s="4"/>
      <c r="S615" s="12"/>
    </row>
    <row r="616" spans="1:19" x14ac:dyDescent="0.25">
      <c r="A616" s="9" t="s">
        <v>150</v>
      </c>
      <c r="B616" s="9" t="s">
        <v>150</v>
      </c>
      <c r="C616" s="4">
        <v>201005026</v>
      </c>
      <c r="D616" s="4"/>
      <c r="E616" s="4" t="str">
        <f>"101692010"</f>
        <v>101692010</v>
      </c>
      <c r="F616" s="10">
        <v>40407</v>
      </c>
      <c r="G616" s="11">
        <v>3000</v>
      </c>
      <c r="H616" s="11">
        <v>3000</v>
      </c>
      <c r="I616" s="4" t="s">
        <v>54</v>
      </c>
      <c r="J616" s="4" t="s">
        <v>55</v>
      </c>
      <c r="K616" s="11">
        <v>0</v>
      </c>
      <c r="L616" s="4"/>
      <c r="M616" s="4"/>
      <c r="N616" s="11">
        <v>0</v>
      </c>
      <c r="O616" s="4"/>
      <c r="P616" s="4"/>
      <c r="Q616" s="11">
        <v>0</v>
      </c>
      <c r="R616" s="4"/>
      <c r="S616" s="12"/>
    </row>
    <row r="617" spans="1:19" x14ac:dyDescent="0.25">
      <c r="A617" s="9" t="s">
        <v>150</v>
      </c>
      <c r="B617" s="9" t="s">
        <v>150</v>
      </c>
      <c r="C617" s="4">
        <v>201005045</v>
      </c>
      <c r="D617" s="4"/>
      <c r="E617" s="4" t="str">
        <f>"101152010"</f>
        <v>101152010</v>
      </c>
      <c r="F617" s="10">
        <v>40409</v>
      </c>
      <c r="G617" s="11">
        <v>156.13</v>
      </c>
      <c r="H617" s="11">
        <v>156.13</v>
      </c>
      <c r="I617" s="4" t="s">
        <v>1766</v>
      </c>
      <c r="J617" s="4" t="s">
        <v>1767</v>
      </c>
      <c r="K617" s="11">
        <v>0</v>
      </c>
      <c r="L617" s="4"/>
      <c r="M617" s="4"/>
      <c r="N617" s="11">
        <v>0</v>
      </c>
      <c r="O617" s="4"/>
      <c r="P617" s="4"/>
      <c r="Q617" s="11">
        <v>0</v>
      </c>
      <c r="R617" s="4"/>
      <c r="S617" s="12"/>
    </row>
    <row r="618" spans="1:19" x14ac:dyDescent="0.25">
      <c r="A618" s="9" t="s">
        <v>150</v>
      </c>
      <c r="B618" s="9" t="s">
        <v>150</v>
      </c>
      <c r="C618" s="4">
        <v>201005066</v>
      </c>
      <c r="D618" s="4"/>
      <c r="E618" s="4" t="str">
        <f>"101172010"</f>
        <v>101172010</v>
      </c>
      <c r="F618" s="10">
        <v>40409</v>
      </c>
      <c r="G618" s="11">
        <v>467.8</v>
      </c>
      <c r="H618" s="11">
        <v>467.8</v>
      </c>
      <c r="I618" s="4" t="s">
        <v>1766</v>
      </c>
      <c r="J618" s="4" t="s">
        <v>1767</v>
      </c>
      <c r="K618" s="11">
        <v>0</v>
      </c>
      <c r="L618" s="4"/>
      <c r="M618" s="4"/>
      <c r="N618" s="11">
        <v>0</v>
      </c>
      <c r="O618" s="4"/>
      <c r="P618" s="4"/>
      <c r="Q618" s="11">
        <v>0</v>
      </c>
      <c r="R618" s="4"/>
      <c r="S618" s="12"/>
    </row>
    <row r="619" spans="1:19" x14ac:dyDescent="0.25">
      <c r="A619" s="9" t="s">
        <v>150</v>
      </c>
      <c r="B619" s="9" t="s">
        <v>150</v>
      </c>
      <c r="C619" s="4">
        <v>201005067</v>
      </c>
      <c r="D619" s="4"/>
      <c r="E619" s="4" t="str">
        <f>"101212010"</f>
        <v>101212010</v>
      </c>
      <c r="F619" s="10">
        <v>40407</v>
      </c>
      <c r="G619" s="11">
        <v>9373.08</v>
      </c>
      <c r="H619" s="11">
        <v>9373.08</v>
      </c>
      <c r="I619" s="4" t="s">
        <v>366</v>
      </c>
      <c r="J619" s="4" t="s">
        <v>367</v>
      </c>
      <c r="K619" s="11">
        <v>0</v>
      </c>
      <c r="L619" s="4"/>
      <c r="M619" s="4"/>
      <c r="N619" s="11">
        <v>0</v>
      </c>
      <c r="O619" s="4"/>
      <c r="P619" s="4"/>
      <c r="Q619" s="11">
        <v>0</v>
      </c>
      <c r="R619" s="4"/>
      <c r="S619" s="12"/>
    </row>
    <row r="620" spans="1:19" x14ac:dyDescent="0.25">
      <c r="A620" s="9" t="s">
        <v>150</v>
      </c>
      <c r="B620" s="9" t="s">
        <v>150</v>
      </c>
      <c r="C620" s="4">
        <v>201005161</v>
      </c>
      <c r="D620" s="4"/>
      <c r="E620" s="4" t="str">
        <f>"108912010"</f>
        <v>108912010</v>
      </c>
      <c r="F620" s="10">
        <v>40429</v>
      </c>
      <c r="G620" s="11">
        <v>5855.24</v>
      </c>
      <c r="H620" s="11">
        <v>5855.24</v>
      </c>
      <c r="I620" s="4" t="s">
        <v>366</v>
      </c>
      <c r="J620" s="4" t="s">
        <v>367</v>
      </c>
      <c r="K620" s="11">
        <v>0</v>
      </c>
      <c r="L620" s="4"/>
      <c r="M620" s="4"/>
      <c r="N620" s="11">
        <v>0</v>
      </c>
      <c r="O620" s="4"/>
      <c r="P620" s="4"/>
      <c r="Q620" s="11">
        <v>0</v>
      </c>
      <c r="R620" s="4"/>
      <c r="S620" s="12"/>
    </row>
    <row r="621" spans="1:19" x14ac:dyDescent="0.25">
      <c r="A621" s="9" t="s">
        <v>150</v>
      </c>
      <c r="B621" s="9" t="s">
        <v>150</v>
      </c>
      <c r="C621" s="4">
        <v>201005162</v>
      </c>
      <c r="D621" s="4"/>
      <c r="E621" s="4" t="str">
        <f>"104232010"</f>
        <v>104232010</v>
      </c>
      <c r="F621" s="10">
        <v>40413</v>
      </c>
      <c r="G621" s="11">
        <v>218.66</v>
      </c>
      <c r="H621" s="11">
        <v>218.66</v>
      </c>
      <c r="I621" s="4" t="s">
        <v>1766</v>
      </c>
      <c r="J621" s="4" t="s">
        <v>1767</v>
      </c>
      <c r="K621" s="11">
        <v>0</v>
      </c>
      <c r="L621" s="4"/>
      <c r="M621" s="4"/>
      <c r="N621" s="11">
        <v>0</v>
      </c>
      <c r="O621" s="4"/>
      <c r="P621" s="4"/>
      <c r="Q621" s="11">
        <v>0</v>
      </c>
      <c r="R621" s="4"/>
      <c r="S621" s="12"/>
    </row>
    <row r="622" spans="1:19" x14ac:dyDescent="0.25">
      <c r="A622" s="9" t="s">
        <v>150</v>
      </c>
      <c r="B622" s="9" t="s">
        <v>150</v>
      </c>
      <c r="C622" s="4">
        <v>201005163</v>
      </c>
      <c r="D622" s="4"/>
      <c r="E622" s="4" t="str">
        <f>"104212010"</f>
        <v>104212010</v>
      </c>
      <c r="F622" s="10">
        <v>40413</v>
      </c>
      <c r="G622" s="11">
        <v>6437.62</v>
      </c>
      <c r="H622" s="11">
        <v>6437.62</v>
      </c>
      <c r="I622" s="4" t="s">
        <v>366</v>
      </c>
      <c r="J622" s="4" t="s">
        <v>367</v>
      </c>
      <c r="K622" s="11">
        <v>0</v>
      </c>
      <c r="L622" s="4"/>
      <c r="M622" s="4"/>
      <c r="N622" s="11">
        <v>0</v>
      </c>
      <c r="O622" s="4"/>
      <c r="P622" s="4"/>
      <c r="Q622" s="11">
        <v>0</v>
      </c>
      <c r="R622" s="4"/>
      <c r="S622" s="12"/>
    </row>
    <row r="623" spans="1:19" x14ac:dyDescent="0.25">
      <c r="A623" s="9" t="s">
        <v>150</v>
      </c>
      <c r="B623" s="9" t="s">
        <v>150</v>
      </c>
      <c r="C623" s="4">
        <v>201005235</v>
      </c>
      <c r="D623" s="4" t="s">
        <v>1800</v>
      </c>
      <c r="E623" s="4" t="str">
        <f>"105512010"</f>
        <v>105512010</v>
      </c>
      <c r="F623" s="10">
        <v>40415</v>
      </c>
      <c r="G623" s="11">
        <v>21296.48</v>
      </c>
      <c r="H623" s="11">
        <v>21296.48</v>
      </c>
      <c r="I623" s="4" t="s">
        <v>366</v>
      </c>
      <c r="J623" s="4" t="s">
        <v>367</v>
      </c>
      <c r="K623" s="11">
        <v>0</v>
      </c>
      <c r="L623" s="4"/>
      <c r="M623" s="4"/>
      <c r="N623" s="11">
        <v>0</v>
      </c>
      <c r="O623" s="4"/>
      <c r="P623" s="4"/>
      <c r="Q623" s="11">
        <v>0</v>
      </c>
      <c r="R623" s="4"/>
      <c r="S623" s="12"/>
    </row>
    <row r="624" spans="1:19" x14ac:dyDescent="0.25">
      <c r="A624" s="9" t="s">
        <v>150</v>
      </c>
      <c r="B624" s="9" t="s">
        <v>150</v>
      </c>
      <c r="C624" s="4">
        <v>201005242</v>
      </c>
      <c r="D624" s="4"/>
      <c r="E624" s="4" t="str">
        <f>"105572010"</f>
        <v>105572010</v>
      </c>
      <c r="F624" s="10">
        <v>40416</v>
      </c>
      <c r="G624" s="11">
        <v>110.28</v>
      </c>
      <c r="H624" s="11">
        <v>110.28</v>
      </c>
      <c r="I624" s="4" t="s">
        <v>1766</v>
      </c>
      <c r="J624" s="4" t="s">
        <v>1767</v>
      </c>
      <c r="K624" s="11">
        <v>0</v>
      </c>
      <c r="L624" s="4"/>
      <c r="M624" s="4"/>
      <c r="N624" s="11">
        <v>0</v>
      </c>
      <c r="O624" s="4"/>
      <c r="P624" s="4"/>
      <c r="Q624" s="11">
        <v>0</v>
      </c>
      <c r="R624" s="4"/>
      <c r="S624" s="12"/>
    </row>
    <row r="625" spans="1:19" x14ac:dyDescent="0.25">
      <c r="A625" s="9" t="s">
        <v>150</v>
      </c>
      <c r="B625" s="9" t="s">
        <v>150</v>
      </c>
      <c r="C625" s="4">
        <v>201005248</v>
      </c>
      <c r="D625" s="4"/>
      <c r="E625" s="4" t="str">
        <f>"105772010"</f>
        <v>105772010</v>
      </c>
      <c r="F625" s="10">
        <v>40416</v>
      </c>
      <c r="G625" s="11">
        <v>25</v>
      </c>
      <c r="H625" s="11">
        <v>25</v>
      </c>
      <c r="I625" s="4" t="s">
        <v>1766</v>
      </c>
      <c r="J625" s="4" t="s">
        <v>1767</v>
      </c>
      <c r="K625" s="11">
        <v>0</v>
      </c>
      <c r="L625" s="4"/>
      <c r="M625" s="4"/>
      <c r="N625" s="11">
        <v>0</v>
      </c>
      <c r="O625" s="4"/>
      <c r="P625" s="4"/>
      <c r="Q625" s="11">
        <v>0</v>
      </c>
      <c r="R625" s="4"/>
      <c r="S625" s="12"/>
    </row>
    <row r="626" spans="1:19" x14ac:dyDescent="0.25">
      <c r="A626" s="9" t="s">
        <v>150</v>
      </c>
      <c r="B626" s="9" t="s">
        <v>150</v>
      </c>
      <c r="C626" s="4">
        <v>201005249</v>
      </c>
      <c r="D626" s="4"/>
      <c r="E626" s="4" t="str">
        <f>"105592010"</f>
        <v>105592010</v>
      </c>
      <c r="F626" s="10">
        <v>40416</v>
      </c>
      <c r="G626" s="11">
        <v>131.69999999999999</v>
      </c>
      <c r="H626" s="11">
        <v>131.69999999999999</v>
      </c>
      <c r="I626" s="4" t="s">
        <v>1766</v>
      </c>
      <c r="J626" s="4" t="s">
        <v>1767</v>
      </c>
      <c r="K626" s="11">
        <v>0</v>
      </c>
      <c r="L626" s="4"/>
      <c r="M626" s="4"/>
      <c r="N626" s="11">
        <v>0</v>
      </c>
      <c r="O626" s="4"/>
      <c r="P626" s="4"/>
      <c r="Q626" s="11">
        <v>0</v>
      </c>
      <c r="R626" s="4"/>
      <c r="S626" s="12"/>
    </row>
    <row r="627" spans="1:19" x14ac:dyDescent="0.25">
      <c r="A627" s="9" t="s">
        <v>150</v>
      </c>
      <c r="B627" s="9" t="s">
        <v>150</v>
      </c>
      <c r="C627" s="4">
        <v>201005287</v>
      </c>
      <c r="D627" s="4"/>
      <c r="E627" s="4" t="str">
        <f>"105552010"</f>
        <v>105552010</v>
      </c>
      <c r="F627" s="10">
        <v>40416</v>
      </c>
      <c r="G627" s="11">
        <v>82.95</v>
      </c>
      <c r="H627" s="11">
        <v>82.95</v>
      </c>
      <c r="I627" s="4" t="s">
        <v>1766</v>
      </c>
      <c r="J627" s="4" t="s">
        <v>1767</v>
      </c>
      <c r="K627" s="11">
        <v>0</v>
      </c>
      <c r="L627" s="4"/>
      <c r="M627" s="4"/>
      <c r="N627" s="11">
        <v>0</v>
      </c>
      <c r="O627" s="4"/>
      <c r="P627" s="4"/>
      <c r="Q627" s="11">
        <v>0</v>
      </c>
      <c r="R627" s="4"/>
      <c r="S627" s="12"/>
    </row>
    <row r="628" spans="1:19" x14ac:dyDescent="0.25">
      <c r="A628" s="9" t="s">
        <v>150</v>
      </c>
      <c r="B628" s="9" t="s">
        <v>150</v>
      </c>
      <c r="C628" s="4">
        <v>201005291</v>
      </c>
      <c r="D628" s="4"/>
      <c r="E628" s="4" t="str">
        <f>"105652010"</f>
        <v>105652010</v>
      </c>
      <c r="F628" s="10">
        <v>40416</v>
      </c>
      <c r="G628" s="11">
        <v>574.28</v>
      </c>
      <c r="H628" s="11">
        <v>574.28</v>
      </c>
      <c r="I628" s="4" t="s">
        <v>1766</v>
      </c>
      <c r="J628" s="4" t="s">
        <v>1767</v>
      </c>
      <c r="K628" s="11">
        <v>0</v>
      </c>
      <c r="L628" s="4"/>
      <c r="M628" s="4"/>
      <c r="N628" s="11">
        <v>0</v>
      </c>
      <c r="O628" s="4"/>
      <c r="P628" s="4"/>
      <c r="Q628" s="11">
        <v>0</v>
      </c>
      <c r="R628" s="4"/>
      <c r="S628" s="12"/>
    </row>
    <row r="629" spans="1:19" x14ac:dyDescent="0.25">
      <c r="A629" s="9" t="s">
        <v>150</v>
      </c>
      <c r="B629" s="9" t="s">
        <v>150</v>
      </c>
      <c r="C629" s="4">
        <v>201005296</v>
      </c>
      <c r="D629" s="4"/>
      <c r="E629" s="4" t="str">
        <f>"105632010"</f>
        <v>105632010</v>
      </c>
      <c r="F629" s="10">
        <v>40416</v>
      </c>
      <c r="G629" s="11">
        <v>389.26</v>
      </c>
      <c r="H629" s="11">
        <v>389.26</v>
      </c>
      <c r="I629" s="4" t="s">
        <v>1766</v>
      </c>
      <c r="J629" s="4" t="s">
        <v>1767</v>
      </c>
      <c r="K629" s="11">
        <v>0</v>
      </c>
      <c r="L629" s="4"/>
      <c r="M629" s="4"/>
      <c r="N629" s="11">
        <v>0</v>
      </c>
      <c r="O629" s="4"/>
      <c r="P629" s="4"/>
      <c r="Q629" s="11">
        <v>0</v>
      </c>
      <c r="R629" s="4"/>
      <c r="S629" s="12"/>
    </row>
    <row r="630" spans="1:19" x14ac:dyDescent="0.25">
      <c r="A630" s="9" t="s">
        <v>150</v>
      </c>
      <c r="B630" s="9" t="s">
        <v>150</v>
      </c>
      <c r="C630" s="4">
        <v>201005331</v>
      </c>
      <c r="D630" s="4"/>
      <c r="E630" s="4" t="str">
        <f>"107322010"</f>
        <v>107322010</v>
      </c>
      <c r="F630" s="10">
        <v>40423</v>
      </c>
      <c r="G630" s="11">
        <v>111.07</v>
      </c>
      <c r="H630" s="11">
        <v>111.07</v>
      </c>
      <c r="I630" s="4" t="s">
        <v>1766</v>
      </c>
      <c r="J630" s="4" t="s">
        <v>1767</v>
      </c>
      <c r="K630" s="11">
        <v>0</v>
      </c>
      <c r="L630" s="4"/>
      <c r="M630" s="4"/>
      <c r="N630" s="11">
        <v>0</v>
      </c>
      <c r="O630" s="4"/>
      <c r="P630" s="4"/>
      <c r="Q630" s="11">
        <v>0</v>
      </c>
      <c r="R630" s="4"/>
      <c r="S630" s="12"/>
    </row>
    <row r="631" spans="1:19" x14ac:dyDescent="0.25">
      <c r="A631" s="9" t="s">
        <v>150</v>
      </c>
      <c r="B631" s="9" t="s">
        <v>150</v>
      </c>
      <c r="C631" s="4">
        <v>201005411</v>
      </c>
      <c r="D631" s="4"/>
      <c r="E631" s="4" t="str">
        <f>"109012010"</f>
        <v>109012010</v>
      </c>
      <c r="F631" s="10">
        <v>40430</v>
      </c>
      <c r="G631" s="11">
        <v>343.18</v>
      </c>
      <c r="H631" s="11">
        <v>343.18</v>
      </c>
      <c r="I631" s="4" t="s">
        <v>1766</v>
      </c>
      <c r="J631" s="4" t="s">
        <v>1767</v>
      </c>
      <c r="K631" s="11">
        <v>0</v>
      </c>
      <c r="L631" s="4"/>
      <c r="M631" s="4"/>
      <c r="N631" s="11">
        <v>0</v>
      </c>
      <c r="O631" s="4"/>
      <c r="P631" s="4"/>
      <c r="Q631" s="11">
        <v>0</v>
      </c>
      <c r="R631" s="4"/>
      <c r="S631" s="12"/>
    </row>
    <row r="632" spans="1:19" x14ac:dyDescent="0.25">
      <c r="A632" s="9" t="s">
        <v>150</v>
      </c>
      <c r="B632" s="9" t="s">
        <v>150</v>
      </c>
      <c r="C632" s="4">
        <v>201005412</v>
      </c>
      <c r="D632" s="4"/>
      <c r="E632" s="4" t="str">
        <f>"110932010"</f>
        <v>110932010</v>
      </c>
      <c r="F632" s="10">
        <v>40437</v>
      </c>
      <c r="G632" s="11">
        <v>4791</v>
      </c>
      <c r="H632" s="11">
        <v>4791</v>
      </c>
      <c r="I632" s="4" t="s">
        <v>54</v>
      </c>
      <c r="J632" s="4" t="s">
        <v>55</v>
      </c>
      <c r="K632" s="11">
        <v>0</v>
      </c>
      <c r="L632" s="4"/>
      <c r="M632" s="4"/>
      <c r="N632" s="11">
        <v>0</v>
      </c>
      <c r="O632" s="4"/>
      <c r="P632" s="4"/>
      <c r="Q632" s="11">
        <v>0</v>
      </c>
      <c r="R632" s="4"/>
      <c r="S632" s="12"/>
    </row>
    <row r="633" spans="1:19" x14ac:dyDescent="0.25">
      <c r="A633" s="9" t="s">
        <v>150</v>
      </c>
      <c r="B633" s="9" t="s">
        <v>150</v>
      </c>
      <c r="C633" s="4">
        <v>201005413</v>
      </c>
      <c r="D633" s="4"/>
      <c r="E633" s="4" t="str">
        <f>"109032010"</f>
        <v>109032010</v>
      </c>
      <c r="F633" s="10">
        <v>40429</v>
      </c>
      <c r="G633" s="11">
        <v>4176.7700000000004</v>
      </c>
      <c r="H633" s="11">
        <v>4176.7700000000004</v>
      </c>
      <c r="I633" s="4" t="s">
        <v>54</v>
      </c>
      <c r="J633" s="4" t="s">
        <v>55</v>
      </c>
      <c r="K633" s="11">
        <v>0</v>
      </c>
      <c r="L633" s="4"/>
      <c r="M633" s="4"/>
      <c r="N633" s="11">
        <v>0</v>
      </c>
      <c r="O633" s="4"/>
      <c r="P633" s="4"/>
      <c r="Q633" s="11">
        <v>0</v>
      </c>
      <c r="R633" s="4"/>
      <c r="S633" s="12"/>
    </row>
    <row r="634" spans="1:19" x14ac:dyDescent="0.25">
      <c r="A634" s="9" t="s">
        <v>150</v>
      </c>
      <c r="B634" s="9" t="s">
        <v>150</v>
      </c>
      <c r="C634" s="4">
        <v>201005426</v>
      </c>
      <c r="D634" s="4"/>
      <c r="E634" s="4" t="str">
        <f>"109092010"</f>
        <v>109092010</v>
      </c>
      <c r="F634" s="10">
        <v>40430</v>
      </c>
      <c r="G634" s="11">
        <v>2711.2</v>
      </c>
      <c r="H634" s="11">
        <v>2711.2</v>
      </c>
      <c r="I634" s="4" t="s">
        <v>366</v>
      </c>
      <c r="J634" s="4" t="s">
        <v>367</v>
      </c>
      <c r="K634" s="11">
        <v>0</v>
      </c>
      <c r="L634" s="4"/>
      <c r="M634" s="4"/>
      <c r="N634" s="11">
        <v>0</v>
      </c>
      <c r="O634" s="4"/>
      <c r="P634" s="4"/>
      <c r="Q634" s="11">
        <v>0</v>
      </c>
      <c r="R634" s="4"/>
      <c r="S634" s="12"/>
    </row>
    <row r="635" spans="1:19" x14ac:dyDescent="0.25">
      <c r="A635" s="9" t="s">
        <v>150</v>
      </c>
      <c r="B635" s="9" t="s">
        <v>150</v>
      </c>
      <c r="C635" s="4">
        <v>201005432</v>
      </c>
      <c r="D635" s="4"/>
      <c r="E635" s="4" t="str">
        <f>"109452010"</f>
        <v>109452010</v>
      </c>
      <c r="F635" s="10">
        <v>40430</v>
      </c>
      <c r="G635" s="11">
        <v>5343.49</v>
      </c>
      <c r="H635" s="11">
        <v>5343.49</v>
      </c>
      <c r="I635" s="4" t="s">
        <v>366</v>
      </c>
      <c r="J635" s="4" t="s">
        <v>367</v>
      </c>
      <c r="K635" s="11">
        <v>0</v>
      </c>
      <c r="L635" s="4"/>
      <c r="M635" s="4"/>
      <c r="N635" s="11">
        <v>0</v>
      </c>
      <c r="O635" s="4"/>
      <c r="P635" s="4"/>
      <c r="Q635" s="11">
        <v>0</v>
      </c>
      <c r="R635" s="4"/>
      <c r="S635" s="12"/>
    </row>
    <row r="636" spans="1:19" x14ac:dyDescent="0.25">
      <c r="A636" s="9" t="s">
        <v>150</v>
      </c>
      <c r="B636" s="9" t="s">
        <v>150</v>
      </c>
      <c r="C636" s="4">
        <v>201005433</v>
      </c>
      <c r="D636" s="4"/>
      <c r="E636" s="4" t="str">
        <f>"110692010"</f>
        <v>110692010</v>
      </c>
      <c r="F636" s="10">
        <v>40435</v>
      </c>
      <c r="G636" s="11">
        <v>73.95</v>
      </c>
      <c r="H636" s="11">
        <v>73.95</v>
      </c>
      <c r="I636" s="4" t="s">
        <v>1766</v>
      </c>
      <c r="J636" s="4" t="s">
        <v>1767</v>
      </c>
      <c r="K636" s="11">
        <v>0</v>
      </c>
      <c r="L636" s="4"/>
      <c r="M636" s="4"/>
      <c r="N636" s="11">
        <v>0</v>
      </c>
      <c r="O636" s="4"/>
      <c r="P636" s="4"/>
      <c r="Q636" s="11">
        <v>0</v>
      </c>
      <c r="R636" s="4"/>
      <c r="S636" s="12"/>
    </row>
    <row r="637" spans="1:19" x14ac:dyDescent="0.25">
      <c r="A637" s="9" t="s">
        <v>150</v>
      </c>
      <c r="B637" s="9" t="s">
        <v>150</v>
      </c>
      <c r="C637" s="4">
        <v>201005434</v>
      </c>
      <c r="D637" s="4"/>
      <c r="E637" s="4" t="str">
        <f>"110792010"</f>
        <v>110792010</v>
      </c>
      <c r="F637" s="10">
        <v>40436</v>
      </c>
      <c r="G637" s="11">
        <v>633.57000000000005</v>
      </c>
      <c r="H637" s="11">
        <v>633.57000000000005</v>
      </c>
      <c r="I637" s="4" t="s">
        <v>1766</v>
      </c>
      <c r="J637" s="4" t="s">
        <v>1767</v>
      </c>
      <c r="K637" s="11">
        <v>0</v>
      </c>
      <c r="L637" s="4"/>
      <c r="M637" s="4"/>
      <c r="N637" s="11">
        <v>0</v>
      </c>
      <c r="O637" s="4"/>
      <c r="P637" s="4"/>
      <c r="Q637" s="11">
        <v>0</v>
      </c>
      <c r="R637" s="4"/>
      <c r="S637" s="12"/>
    </row>
    <row r="638" spans="1:19" x14ac:dyDescent="0.25">
      <c r="A638" s="9" t="s">
        <v>150</v>
      </c>
      <c r="B638" s="9" t="s">
        <v>150</v>
      </c>
      <c r="C638" s="4">
        <v>201005436</v>
      </c>
      <c r="D638" s="4"/>
      <c r="E638" s="4" t="str">
        <f>"112342010"</f>
        <v>112342010</v>
      </c>
      <c r="F638" s="10">
        <v>40444</v>
      </c>
      <c r="G638" s="11">
        <v>2843.55</v>
      </c>
      <c r="H638" s="11">
        <v>2843.55</v>
      </c>
      <c r="I638" s="4" t="s">
        <v>366</v>
      </c>
      <c r="J638" s="4" t="s">
        <v>367</v>
      </c>
      <c r="K638" s="11">
        <v>0</v>
      </c>
      <c r="L638" s="4"/>
      <c r="M638" s="4"/>
      <c r="N638" s="11">
        <v>0</v>
      </c>
      <c r="O638" s="4"/>
      <c r="P638" s="4"/>
      <c r="Q638" s="11">
        <v>0</v>
      </c>
      <c r="R638" s="4"/>
      <c r="S638" s="12"/>
    </row>
    <row r="639" spans="1:19" x14ac:dyDescent="0.25">
      <c r="A639" s="9" t="s">
        <v>150</v>
      </c>
      <c r="B639" s="9" t="s">
        <v>150</v>
      </c>
      <c r="C639" s="4">
        <v>201005441</v>
      </c>
      <c r="D639" s="4"/>
      <c r="E639" s="4" t="str">
        <f>"109072010"</f>
        <v>109072010</v>
      </c>
      <c r="F639" s="10">
        <v>40430</v>
      </c>
      <c r="G639" s="11">
        <v>260.99</v>
      </c>
      <c r="H639" s="11">
        <v>260.99</v>
      </c>
      <c r="I639" s="4" t="s">
        <v>1766</v>
      </c>
      <c r="J639" s="4" t="s">
        <v>1767</v>
      </c>
      <c r="K639" s="11">
        <v>0</v>
      </c>
      <c r="L639" s="4"/>
      <c r="M639" s="4"/>
      <c r="N639" s="11">
        <v>0</v>
      </c>
      <c r="O639" s="4"/>
      <c r="P639" s="4"/>
      <c r="Q639" s="11">
        <v>0</v>
      </c>
      <c r="R639" s="4"/>
      <c r="S639" s="12"/>
    </row>
    <row r="640" spans="1:19" x14ac:dyDescent="0.25">
      <c r="A640" s="9" t="s">
        <v>150</v>
      </c>
      <c r="B640" s="9" t="s">
        <v>150</v>
      </c>
      <c r="C640" s="4">
        <v>201005500</v>
      </c>
      <c r="D640" s="4"/>
      <c r="E640" s="4" t="str">
        <f>"110372010"</f>
        <v>110372010</v>
      </c>
      <c r="F640" s="10">
        <v>40434</v>
      </c>
      <c r="G640" s="11">
        <v>1000</v>
      </c>
      <c r="H640" s="11">
        <v>1000</v>
      </c>
      <c r="I640" s="4" t="s">
        <v>1766</v>
      </c>
      <c r="J640" s="4" t="s">
        <v>1767</v>
      </c>
      <c r="K640" s="11">
        <v>0</v>
      </c>
      <c r="L640" s="4"/>
      <c r="M640" s="4"/>
      <c r="N640" s="11">
        <v>0</v>
      </c>
      <c r="O640" s="4"/>
      <c r="P640" s="4"/>
      <c r="Q640" s="11">
        <v>0</v>
      </c>
      <c r="R640" s="4"/>
      <c r="S640" s="12"/>
    </row>
    <row r="641" spans="1:19" x14ac:dyDescent="0.25">
      <c r="A641" s="9" t="s">
        <v>150</v>
      </c>
      <c r="B641" s="9" t="s">
        <v>150</v>
      </c>
      <c r="C641" s="4">
        <v>201005541</v>
      </c>
      <c r="D641" s="4"/>
      <c r="E641" s="4" t="str">
        <f>"110952010"</f>
        <v>110952010</v>
      </c>
      <c r="F641" s="10">
        <v>40437</v>
      </c>
      <c r="G641" s="11">
        <v>6331.03</v>
      </c>
      <c r="H641" s="11">
        <v>6331.03</v>
      </c>
      <c r="I641" s="4" t="s">
        <v>366</v>
      </c>
      <c r="J641" s="4" t="s">
        <v>367</v>
      </c>
      <c r="K641" s="11">
        <v>0</v>
      </c>
      <c r="L641" s="4"/>
      <c r="M641" s="4"/>
      <c r="N641" s="11">
        <v>0</v>
      </c>
      <c r="O641" s="4"/>
      <c r="P641" s="4"/>
      <c r="Q641" s="11">
        <v>0</v>
      </c>
      <c r="R641" s="4"/>
      <c r="S641" s="12"/>
    </row>
    <row r="642" spans="1:19" x14ac:dyDescent="0.25">
      <c r="A642" s="9" t="s">
        <v>150</v>
      </c>
      <c r="B642" s="9" t="s">
        <v>150</v>
      </c>
      <c r="C642" s="4">
        <v>201005542</v>
      </c>
      <c r="D642" s="4"/>
      <c r="E642" s="4" t="str">
        <f>"110972010"</f>
        <v>110972010</v>
      </c>
      <c r="F642" s="10">
        <v>40436</v>
      </c>
      <c r="G642" s="11">
        <v>7403.16</v>
      </c>
      <c r="H642" s="11">
        <v>7403.16</v>
      </c>
      <c r="I642" s="4" t="s">
        <v>366</v>
      </c>
      <c r="J642" s="4" t="s">
        <v>367</v>
      </c>
      <c r="K642" s="11">
        <v>0</v>
      </c>
      <c r="L642" s="4"/>
      <c r="M642" s="4"/>
      <c r="N642" s="11">
        <v>0</v>
      </c>
      <c r="O642" s="4"/>
      <c r="P642" s="4"/>
      <c r="Q642" s="11">
        <v>0</v>
      </c>
      <c r="R642" s="4"/>
      <c r="S642" s="12"/>
    </row>
    <row r="643" spans="1:19" x14ac:dyDescent="0.25">
      <c r="A643" s="9" t="s">
        <v>150</v>
      </c>
      <c r="B643" s="9" t="s">
        <v>150</v>
      </c>
      <c r="C643" s="4">
        <v>201005640</v>
      </c>
      <c r="D643" s="4"/>
      <c r="E643" s="4" t="str">
        <f>"113262010"</f>
        <v>113262010</v>
      </c>
      <c r="F643" s="10">
        <v>40448</v>
      </c>
      <c r="G643" s="11">
        <v>158.99</v>
      </c>
      <c r="H643" s="11">
        <v>158.99</v>
      </c>
      <c r="I643" s="4" t="s">
        <v>1766</v>
      </c>
      <c r="J643" s="4" t="s">
        <v>1767</v>
      </c>
      <c r="K643" s="11">
        <v>0</v>
      </c>
      <c r="L643" s="4"/>
      <c r="M643" s="4"/>
      <c r="N643" s="11">
        <v>0</v>
      </c>
      <c r="O643" s="4"/>
      <c r="P643" s="4"/>
      <c r="Q643" s="11">
        <v>0</v>
      </c>
      <c r="R643" s="4"/>
      <c r="S643" s="12"/>
    </row>
    <row r="644" spans="1:19" x14ac:dyDescent="0.25">
      <c r="A644" s="9" t="s">
        <v>150</v>
      </c>
      <c r="B644" s="9" t="s">
        <v>150</v>
      </c>
      <c r="C644" s="4">
        <v>201005641</v>
      </c>
      <c r="D644" s="4"/>
      <c r="E644" s="4" t="str">
        <f>"113242010"</f>
        <v>113242010</v>
      </c>
      <c r="F644" s="10">
        <v>40448</v>
      </c>
      <c r="G644" s="11">
        <v>604.36</v>
      </c>
      <c r="H644" s="11">
        <v>604.36</v>
      </c>
      <c r="I644" s="4" t="s">
        <v>1766</v>
      </c>
      <c r="J644" s="4" t="s">
        <v>1767</v>
      </c>
      <c r="K644" s="11">
        <v>0</v>
      </c>
      <c r="L644" s="4"/>
      <c r="M644" s="4"/>
      <c r="N644" s="11">
        <v>0</v>
      </c>
      <c r="O644" s="4"/>
      <c r="P644" s="4"/>
      <c r="Q644" s="11">
        <v>0</v>
      </c>
      <c r="R644" s="4"/>
      <c r="S644" s="12"/>
    </row>
    <row r="645" spans="1:19" x14ac:dyDescent="0.25">
      <c r="A645" s="9" t="s">
        <v>150</v>
      </c>
      <c r="B645" s="9" t="s">
        <v>150</v>
      </c>
      <c r="C645" s="4">
        <v>201005643</v>
      </c>
      <c r="D645" s="4"/>
      <c r="E645" s="4" t="str">
        <f>"113142010"</f>
        <v>113142010</v>
      </c>
      <c r="F645" s="10">
        <v>40448</v>
      </c>
      <c r="G645" s="11">
        <v>350.14</v>
      </c>
      <c r="H645" s="11">
        <v>350.14</v>
      </c>
      <c r="I645" s="4" t="s">
        <v>1766</v>
      </c>
      <c r="J645" s="4" t="s">
        <v>1767</v>
      </c>
      <c r="K645" s="11">
        <v>0</v>
      </c>
      <c r="L645" s="4"/>
      <c r="M645" s="4"/>
      <c r="N645" s="11">
        <v>0</v>
      </c>
      <c r="O645" s="4"/>
      <c r="P645" s="4"/>
      <c r="Q645" s="11">
        <v>0</v>
      </c>
      <c r="R645" s="4"/>
      <c r="S645" s="12"/>
    </row>
    <row r="646" spans="1:19" x14ac:dyDescent="0.25">
      <c r="A646" s="9" t="s">
        <v>150</v>
      </c>
      <c r="B646" s="9" t="s">
        <v>150</v>
      </c>
      <c r="C646" s="4">
        <v>201005645</v>
      </c>
      <c r="D646" s="4"/>
      <c r="E646" s="4" t="str">
        <f>"113062010"</f>
        <v>113062010</v>
      </c>
      <c r="F646" s="10">
        <v>40445</v>
      </c>
      <c r="G646" s="11">
        <v>3594.96</v>
      </c>
      <c r="H646" s="11">
        <v>3594.96</v>
      </c>
      <c r="I646" s="4" t="s">
        <v>366</v>
      </c>
      <c r="J646" s="4" t="s">
        <v>367</v>
      </c>
      <c r="K646" s="11">
        <v>0</v>
      </c>
      <c r="L646" s="4"/>
      <c r="M646" s="4"/>
      <c r="N646" s="11">
        <v>0</v>
      </c>
      <c r="O646" s="4"/>
      <c r="P646" s="4"/>
      <c r="Q646" s="11">
        <v>0</v>
      </c>
      <c r="R646" s="4"/>
      <c r="S646" s="12"/>
    </row>
    <row r="647" spans="1:19" x14ac:dyDescent="0.25">
      <c r="A647" s="9" t="s">
        <v>150</v>
      </c>
      <c r="B647" s="9" t="s">
        <v>150</v>
      </c>
      <c r="C647" s="4">
        <v>201005646</v>
      </c>
      <c r="D647" s="4"/>
      <c r="E647" s="4" t="str">
        <f>"113762010"</f>
        <v>113762010</v>
      </c>
      <c r="F647" s="10">
        <v>40450</v>
      </c>
      <c r="G647" s="11">
        <v>576.58000000000004</v>
      </c>
      <c r="H647" s="11">
        <v>576.58000000000004</v>
      </c>
      <c r="I647" s="4" t="s">
        <v>1766</v>
      </c>
      <c r="J647" s="4" t="s">
        <v>1767</v>
      </c>
      <c r="K647" s="11">
        <v>0</v>
      </c>
      <c r="L647" s="4"/>
      <c r="M647" s="4"/>
      <c r="N647" s="11">
        <v>0</v>
      </c>
      <c r="O647" s="4"/>
      <c r="P647" s="4"/>
      <c r="Q647" s="11">
        <v>0</v>
      </c>
      <c r="R647" s="4"/>
      <c r="S647" s="12"/>
    </row>
    <row r="648" spans="1:19" x14ac:dyDescent="0.25">
      <c r="A648" s="9" t="s">
        <v>150</v>
      </c>
      <c r="B648" s="9" t="s">
        <v>150</v>
      </c>
      <c r="C648" s="4">
        <v>201005781</v>
      </c>
      <c r="D648" s="4"/>
      <c r="E648" s="4" t="str">
        <f>"115882010"</f>
        <v>115882010</v>
      </c>
      <c r="F648" s="10">
        <v>40450</v>
      </c>
      <c r="G648" s="11">
        <v>120</v>
      </c>
      <c r="H648" s="11">
        <v>120</v>
      </c>
      <c r="I648" s="4" t="s">
        <v>1766</v>
      </c>
      <c r="J648" s="4" t="s">
        <v>1767</v>
      </c>
      <c r="K648" s="11">
        <v>0</v>
      </c>
      <c r="L648" s="4"/>
      <c r="M648" s="4"/>
      <c r="N648" s="11">
        <v>0</v>
      </c>
      <c r="O648" s="4"/>
      <c r="P648" s="4"/>
      <c r="Q648" s="11">
        <v>0</v>
      </c>
      <c r="R648" s="4"/>
      <c r="S648" s="12"/>
    </row>
    <row r="649" spans="1:19" x14ac:dyDescent="0.25">
      <c r="A649" s="9" t="s">
        <v>181</v>
      </c>
      <c r="B649" s="9" t="s">
        <v>945</v>
      </c>
      <c r="C649" s="4">
        <v>201005671</v>
      </c>
      <c r="D649" s="4" t="s">
        <v>1801</v>
      </c>
      <c r="E649" s="4" t="str">
        <f>"113582010"</f>
        <v>113582010</v>
      </c>
      <c r="F649" s="10">
        <v>40450</v>
      </c>
      <c r="G649" s="11">
        <v>5451.08</v>
      </c>
      <c r="H649" s="11">
        <v>5451.08</v>
      </c>
      <c r="I649" s="4" t="s">
        <v>366</v>
      </c>
      <c r="J649" s="4" t="s">
        <v>367</v>
      </c>
      <c r="K649" s="11">
        <v>0</v>
      </c>
      <c r="L649" s="4"/>
      <c r="M649" s="4"/>
      <c r="N649" s="11">
        <v>0</v>
      </c>
      <c r="O649" s="4"/>
      <c r="P649" s="4"/>
      <c r="Q649" s="11">
        <v>0</v>
      </c>
      <c r="R649" s="4"/>
      <c r="S649" s="12"/>
    </row>
    <row r="650" spans="1:19" x14ac:dyDescent="0.25">
      <c r="A650" s="9" t="s">
        <v>195</v>
      </c>
      <c r="B650" s="9" t="s">
        <v>291</v>
      </c>
      <c r="C650" s="4">
        <v>201000663</v>
      </c>
      <c r="D650" s="4" t="s">
        <v>217</v>
      </c>
      <c r="E650" s="4" t="str">
        <f>"012432010"</f>
        <v>012432010</v>
      </c>
      <c r="F650" s="10">
        <v>40133</v>
      </c>
      <c r="G650" s="11">
        <v>50000</v>
      </c>
      <c r="H650" s="11">
        <v>50000</v>
      </c>
      <c r="I650" s="4" t="s">
        <v>197</v>
      </c>
      <c r="J650" s="4" t="s">
        <v>198</v>
      </c>
      <c r="K650" s="11">
        <v>0</v>
      </c>
      <c r="L650" s="4"/>
      <c r="M650" s="4"/>
      <c r="N650" s="11">
        <v>0</v>
      </c>
      <c r="O650" s="4"/>
      <c r="P650" s="4"/>
      <c r="Q650" s="11">
        <v>0</v>
      </c>
      <c r="R650" s="4"/>
      <c r="S650" s="12"/>
    </row>
    <row r="651" spans="1:19" x14ac:dyDescent="0.25">
      <c r="A651" s="9" t="s">
        <v>233</v>
      </c>
      <c r="B651" s="9" t="s">
        <v>233</v>
      </c>
      <c r="C651" s="4">
        <v>201000474</v>
      </c>
      <c r="D651" s="4"/>
      <c r="E651" s="4" t="str">
        <f>"008572010"</f>
        <v>008572010</v>
      </c>
      <c r="F651" s="10">
        <v>40120</v>
      </c>
      <c r="G651" s="11">
        <v>6944.28</v>
      </c>
      <c r="H651" s="11">
        <v>6944.28</v>
      </c>
      <c r="I651" s="4" t="s">
        <v>366</v>
      </c>
      <c r="J651" s="4" t="s">
        <v>367</v>
      </c>
      <c r="K651" s="11">
        <v>0</v>
      </c>
      <c r="L651" s="4"/>
      <c r="M651" s="4"/>
      <c r="N651" s="11">
        <v>0</v>
      </c>
      <c r="O651" s="4"/>
      <c r="P651" s="4"/>
      <c r="Q651" s="11">
        <v>0</v>
      </c>
      <c r="R651" s="4"/>
      <c r="S651" s="12"/>
    </row>
    <row r="652" spans="1:19" x14ac:dyDescent="0.25">
      <c r="A652" s="9" t="s">
        <v>233</v>
      </c>
      <c r="B652" s="9" t="s">
        <v>233</v>
      </c>
      <c r="C652" s="4">
        <v>201000738</v>
      </c>
      <c r="D652" s="4"/>
      <c r="E652" s="4" t="str">
        <f>"015382010"</f>
        <v>015382010</v>
      </c>
      <c r="F652" s="10">
        <v>40142</v>
      </c>
      <c r="G652" s="11">
        <v>10308</v>
      </c>
      <c r="H652" s="11">
        <v>10308</v>
      </c>
      <c r="I652" s="4" t="s">
        <v>366</v>
      </c>
      <c r="J652" s="4" t="s">
        <v>367</v>
      </c>
      <c r="K652" s="11">
        <v>0</v>
      </c>
      <c r="L652" s="4"/>
      <c r="M652" s="4"/>
      <c r="N652" s="11">
        <v>0</v>
      </c>
      <c r="O652" s="4"/>
      <c r="P652" s="4"/>
      <c r="Q652" s="11">
        <v>0</v>
      </c>
      <c r="R652" s="4"/>
      <c r="S652" s="12"/>
    </row>
    <row r="653" spans="1:19" x14ac:dyDescent="0.25">
      <c r="A653" s="9" t="s">
        <v>233</v>
      </c>
      <c r="B653" s="9" t="s">
        <v>233</v>
      </c>
      <c r="C653" s="4">
        <v>201000762</v>
      </c>
      <c r="D653" s="4"/>
      <c r="E653" s="4" t="str">
        <f>"014522010"</f>
        <v>014522010</v>
      </c>
      <c r="F653" s="10">
        <v>40141</v>
      </c>
      <c r="G653" s="11">
        <v>2758</v>
      </c>
      <c r="H653" s="11">
        <v>2758</v>
      </c>
      <c r="I653" s="4" t="s">
        <v>54</v>
      </c>
      <c r="J653" s="4" t="s">
        <v>55</v>
      </c>
      <c r="K653" s="11">
        <v>0</v>
      </c>
      <c r="L653" s="4"/>
      <c r="M653" s="4"/>
      <c r="N653" s="11">
        <v>0</v>
      </c>
      <c r="O653" s="4"/>
      <c r="P653" s="4"/>
      <c r="Q653" s="11">
        <v>0</v>
      </c>
      <c r="R653" s="4"/>
      <c r="S653" s="12"/>
    </row>
    <row r="654" spans="1:19" x14ac:dyDescent="0.25">
      <c r="A654" s="9" t="s">
        <v>233</v>
      </c>
      <c r="B654" s="9" t="s">
        <v>233</v>
      </c>
      <c r="C654" s="4">
        <v>201000768</v>
      </c>
      <c r="D654" s="4"/>
      <c r="E654" s="4" t="str">
        <f>"014222010"</f>
        <v>014222010</v>
      </c>
      <c r="F654" s="10">
        <v>40141</v>
      </c>
      <c r="G654" s="11">
        <v>3387.87</v>
      </c>
      <c r="H654" s="11">
        <v>3387.87</v>
      </c>
      <c r="I654" s="4" t="s">
        <v>54</v>
      </c>
      <c r="J654" s="4" t="s">
        <v>55</v>
      </c>
      <c r="K654" s="11">
        <v>0</v>
      </c>
      <c r="L654" s="4"/>
      <c r="M654" s="4"/>
      <c r="N654" s="11">
        <v>0</v>
      </c>
      <c r="O654" s="4"/>
      <c r="P654" s="4"/>
      <c r="Q654" s="11">
        <v>0</v>
      </c>
      <c r="R654" s="4"/>
      <c r="S654" s="12"/>
    </row>
    <row r="655" spans="1:19" x14ac:dyDescent="0.25">
      <c r="A655" s="9" t="s">
        <v>233</v>
      </c>
      <c r="B655" s="9" t="s">
        <v>233</v>
      </c>
      <c r="C655" s="4">
        <v>201000823</v>
      </c>
      <c r="D655" s="4"/>
      <c r="E655" s="4" t="str">
        <f>"016122010"</f>
        <v>016122010</v>
      </c>
      <c r="F655" s="10">
        <v>40149</v>
      </c>
      <c r="G655" s="11">
        <v>2513</v>
      </c>
      <c r="H655" s="11">
        <v>2513</v>
      </c>
      <c r="I655" s="4" t="s">
        <v>366</v>
      </c>
      <c r="J655" s="4" t="s">
        <v>367</v>
      </c>
      <c r="K655" s="11">
        <v>0</v>
      </c>
      <c r="L655" s="4"/>
      <c r="M655" s="4"/>
      <c r="N655" s="11">
        <v>0</v>
      </c>
      <c r="O655" s="4"/>
      <c r="P655" s="4"/>
      <c r="Q655" s="11">
        <v>0</v>
      </c>
      <c r="R655" s="4"/>
      <c r="S655" s="12"/>
    </row>
    <row r="656" spans="1:19" x14ac:dyDescent="0.25">
      <c r="A656" s="9" t="s">
        <v>233</v>
      </c>
      <c r="B656" s="9" t="s">
        <v>233</v>
      </c>
      <c r="C656" s="4">
        <v>201000953</v>
      </c>
      <c r="D656" s="4" t="s">
        <v>1802</v>
      </c>
      <c r="E656" s="4" t="str">
        <f>"018222010"</f>
        <v>018222010</v>
      </c>
      <c r="F656" s="10">
        <v>40151</v>
      </c>
      <c r="G656" s="11">
        <v>9000</v>
      </c>
      <c r="H656" s="11">
        <v>9000</v>
      </c>
      <c r="I656" s="4" t="s">
        <v>366</v>
      </c>
      <c r="J656" s="4" t="s">
        <v>367</v>
      </c>
      <c r="K656" s="11">
        <v>0</v>
      </c>
      <c r="L656" s="4"/>
      <c r="M656" s="4"/>
      <c r="N656" s="11">
        <v>0</v>
      </c>
      <c r="O656" s="4"/>
      <c r="P656" s="4"/>
      <c r="Q656" s="11">
        <v>0</v>
      </c>
      <c r="R656" s="4"/>
      <c r="S656" s="12"/>
    </row>
    <row r="657" spans="1:19" x14ac:dyDescent="0.25">
      <c r="A657" s="9" t="s">
        <v>233</v>
      </c>
      <c r="B657" s="9" t="s">
        <v>233</v>
      </c>
      <c r="C657" s="4">
        <v>201001018</v>
      </c>
      <c r="D657" s="4"/>
      <c r="E657" s="4" t="str">
        <f>"019622010"</f>
        <v>019622010</v>
      </c>
      <c r="F657" s="10">
        <v>40157</v>
      </c>
      <c r="G657" s="11">
        <v>2545.59</v>
      </c>
      <c r="H657" s="11">
        <v>2545.59</v>
      </c>
      <c r="I657" s="4" t="s">
        <v>366</v>
      </c>
      <c r="J657" s="4" t="s">
        <v>367</v>
      </c>
      <c r="K657" s="11">
        <v>0</v>
      </c>
      <c r="L657" s="4"/>
      <c r="M657" s="4"/>
      <c r="N657" s="11">
        <v>0</v>
      </c>
      <c r="O657" s="4"/>
      <c r="P657" s="4"/>
      <c r="Q657" s="11">
        <v>0</v>
      </c>
      <c r="R657" s="4"/>
      <c r="S657" s="12"/>
    </row>
    <row r="658" spans="1:19" x14ac:dyDescent="0.25">
      <c r="A658" s="9" t="s">
        <v>233</v>
      </c>
      <c r="B658" s="9" t="s">
        <v>233</v>
      </c>
      <c r="C658" s="4">
        <v>201001034</v>
      </c>
      <c r="D658" s="4"/>
      <c r="E658" s="4" t="str">
        <f>"020482010"</f>
        <v>020482010</v>
      </c>
      <c r="F658" s="10">
        <v>40157</v>
      </c>
      <c r="G658" s="11">
        <v>10500</v>
      </c>
      <c r="H658" s="11">
        <v>10500</v>
      </c>
      <c r="I658" s="4" t="s">
        <v>366</v>
      </c>
      <c r="J658" s="4" t="s">
        <v>367</v>
      </c>
      <c r="K658" s="11">
        <v>0</v>
      </c>
      <c r="L658" s="4"/>
      <c r="M658" s="4"/>
      <c r="N658" s="11">
        <v>0</v>
      </c>
      <c r="O658" s="4"/>
      <c r="P658" s="4"/>
      <c r="Q658" s="11">
        <v>0</v>
      </c>
      <c r="R658" s="4"/>
      <c r="S658" s="12"/>
    </row>
    <row r="659" spans="1:19" x14ac:dyDescent="0.25">
      <c r="A659" s="9" t="s">
        <v>233</v>
      </c>
      <c r="B659" s="9" t="s">
        <v>233</v>
      </c>
      <c r="C659" s="4">
        <v>201002574</v>
      </c>
      <c r="D659" s="4"/>
      <c r="E659" s="4" t="str">
        <f>"051082010"</f>
        <v>051082010</v>
      </c>
      <c r="F659" s="10">
        <v>40263</v>
      </c>
      <c r="G659" s="11">
        <v>7236</v>
      </c>
      <c r="H659" s="11">
        <v>7236</v>
      </c>
      <c r="I659" s="4" t="s">
        <v>54</v>
      </c>
      <c r="J659" s="4" t="s">
        <v>55</v>
      </c>
      <c r="K659" s="11">
        <v>0</v>
      </c>
      <c r="L659" s="4"/>
      <c r="M659" s="4"/>
      <c r="N659" s="11">
        <v>0</v>
      </c>
      <c r="O659" s="4"/>
      <c r="P659" s="4"/>
      <c r="Q659" s="11">
        <v>0</v>
      </c>
      <c r="R659" s="4"/>
      <c r="S659" s="12"/>
    </row>
    <row r="660" spans="1:19" x14ac:dyDescent="0.25">
      <c r="A660" s="9" t="s">
        <v>233</v>
      </c>
      <c r="B660" s="9" t="s">
        <v>233</v>
      </c>
      <c r="C660" s="4">
        <v>201002834</v>
      </c>
      <c r="D660" s="4" t="s">
        <v>1803</v>
      </c>
      <c r="E660" s="4" t="str">
        <f>"056032010"</f>
        <v>056032010</v>
      </c>
      <c r="F660" s="10">
        <v>40275</v>
      </c>
      <c r="G660" s="11">
        <v>5122.99</v>
      </c>
      <c r="H660" s="11">
        <v>5122.99</v>
      </c>
      <c r="I660" s="4" t="s">
        <v>366</v>
      </c>
      <c r="J660" s="4" t="s">
        <v>367</v>
      </c>
      <c r="K660" s="11">
        <v>0</v>
      </c>
      <c r="L660" s="4"/>
      <c r="M660" s="4"/>
      <c r="N660" s="11">
        <v>0</v>
      </c>
      <c r="O660" s="4"/>
      <c r="P660" s="4"/>
      <c r="Q660" s="11">
        <v>0</v>
      </c>
      <c r="R660" s="4"/>
      <c r="S660" s="12"/>
    </row>
    <row r="661" spans="1:19" x14ac:dyDescent="0.25">
      <c r="A661" s="9" t="s">
        <v>233</v>
      </c>
      <c r="B661" s="9" t="s">
        <v>233</v>
      </c>
      <c r="C661" s="4">
        <v>201003097</v>
      </c>
      <c r="D661" s="4"/>
      <c r="E661" s="4" t="str">
        <f>"061522010"</f>
        <v>061522010</v>
      </c>
      <c r="F661" s="10">
        <v>40291</v>
      </c>
      <c r="G661" s="11">
        <v>4300.1899999999996</v>
      </c>
      <c r="H661" s="11">
        <v>4300.1899999999996</v>
      </c>
      <c r="I661" s="4" t="s">
        <v>366</v>
      </c>
      <c r="J661" s="4" t="s">
        <v>367</v>
      </c>
      <c r="K661" s="11">
        <v>0</v>
      </c>
      <c r="L661" s="4"/>
      <c r="M661" s="4"/>
      <c r="N661" s="11">
        <v>0</v>
      </c>
      <c r="O661" s="4"/>
      <c r="P661" s="4"/>
      <c r="Q661" s="11">
        <v>0</v>
      </c>
      <c r="R661" s="4"/>
      <c r="S661" s="12"/>
    </row>
    <row r="662" spans="1:19" x14ac:dyDescent="0.25">
      <c r="A662" s="9" t="s">
        <v>233</v>
      </c>
      <c r="B662" s="9" t="s">
        <v>233</v>
      </c>
      <c r="C662" s="4">
        <v>201004931</v>
      </c>
      <c r="D662" s="4"/>
      <c r="E662" s="4" t="str">
        <f>"098442010"</f>
        <v>098442010</v>
      </c>
      <c r="F662" s="10">
        <v>40394</v>
      </c>
      <c r="G662" s="11">
        <v>4673.8100000000004</v>
      </c>
      <c r="H662" s="11">
        <v>4673.8100000000004</v>
      </c>
      <c r="I662" s="4" t="s">
        <v>366</v>
      </c>
      <c r="J662" s="4" t="s">
        <v>367</v>
      </c>
      <c r="K662" s="11">
        <v>0</v>
      </c>
      <c r="L662" s="4"/>
      <c r="M662" s="4"/>
      <c r="N662" s="11">
        <v>0</v>
      </c>
      <c r="O662" s="4"/>
      <c r="P662" s="4"/>
      <c r="Q662" s="11">
        <v>0</v>
      </c>
      <c r="R662" s="4"/>
      <c r="S662" s="12"/>
    </row>
    <row r="663" spans="1:19" x14ac:dyDescent="0.25">
      <c r="A663" s="9" t="s">
        <v>256</v>
      </c>
      <c r="B663" s="9" t="s">
        <v>256</v>
      </c>
      <c r="C663" s="4">
        <v>200904067</v>
      </c>
      <c r="D663" s="4"/>
      <c r="E663" s="4" t="str">
        <f>"088232009"</f>
        <v>088232009</v>
      </c>
      <c r="F663" s="10">
        <v>40115</v>
      </c>
      <c r="G663" s="11">
        <v>5268.75</v>
      </c>
      <c r="H663" s="11">
        <v>5268.75</v>
      </c>
      <c r="I663" s="4" t="s">
        <v>366</v>
      </c>
      <c r="J663" s="4" t="s">
        <v>367</v>
      </c>
      <c r="K663" s="11">
        <v>0</v>
      </c>
      <c r="L663" s="4"/>
      <c r="M663" s="4"/>
      <c r="N663" s="11">
        <v>0</v>
      </c>
      <c r="O663" s="4"/>
      <c r="P663" s="4"/>
      <c r="Q663" s="11">
        <v>0</v>
      </c>
      <c r="R663" s="4"/>
      <c r="S663" s="12"/>
    </row>
    <row r="664" spans="1:19" x14ac:dyDescent="0.25">
      <c r="A664" s="9" t="s">
        <v>256</v>
      </c>
      <c r="B664" s="9" t="s">
        <v>291</v>
      </c>
      <c r="C664" s="4">
        <v>201000730</v>
      </c>
      <c r="D664" s="4" t="s">
        <v>1804</v>
      </c>
      <c r="E664" s="4" t="str">
        <f>"022912010"</f>
        <v>022912010</v>
      </c>
      <c r="F664" s="10">
        <v>40165</v>
      </c>
      <c r="G664" s="11">
        <v>62947290.189999998</v>
      </c>
      <c r="H664" s="11">
        <v>62947290.189999998</v>
      </c>
      <c r="I664" s="4" t="s">
        <v>88</v>
      </c>
      <c r="J664" s="4" t="s">
        <v>89</v>
      </c>
      <c r="K664" s="11">
        <v>0</v>
      </c>
      <c r="L664" s="4"/>
      <c r="M664" s="4"/>
      <c r="N664" s="11">
        <v>0</v>
      </c>
      <c r="O664" s="4"/>
      <c r="P664" s="4"/>
      <c r="Q664" s="11">
        <v>0</v>
      </c>
      <c r="R664" s="4"/>
      <c r="S664" s="12"/>
    </row>
    <row r="665" spans="1:19" x14ac:dyDescent="0.25">
      <c r="A665" s="9" t="s">
        <v>256</v>
      </c>
      <c r="B665" s="9" t="s">
        <v>256</v>
      </c>
      <c r="C665" s="4">
        <v>201002247</v>
      </c>
      <c r="D665" s="4"/>
      <c r="E665" s="4" t="str">
        <f>"044102010"</f>
        <v>044102010</v>
      </c>
      <c r="F665" s="10">
        <v>40245</v>
      </c>
      <c r="G665" s="11">
        <v>7500</v>
      </c>
      <c r="H665" s="11">
        <v>7500</v>
      </c>
      <c r="I665" s="4" t="s">
        <v>366</v>
      </c>
      <c r="J665" s="4" t="s">
        <v>367</v>
      </c>
      <c r="K665" s="11">
        <v>0</v>
      </c>
      <c r="L665" s="4"/>
      <c r="M665" s="4"/>
      <c r="N665" s="11">
        <v>0</v>
      </c>
      <c r="O665" s="4"/>
      <c r="P665" s="4"/>
      <c r="Q665" s="11">
        <v>0</v>
      </c>
      <c r="R665" s="4"/>
      <c r="S665" s="12"/>
    </row>
    <row r="666" spans="1:19" x14ac:dyDescent="0.25">
      <c r="A666" s="9" t="s">
        <v>256</v>
      </c>
      <c r="B666" s="9" t="s">
        <v>256</v>
      </c>
      <c r="C666" s="4">
        <v>201004729</v>
      </c>
      <c r="D666" s="4"/>
      <c r="E666" s="4" t="str">
        <f>"094762010"</f>
        <v>094762010</v>
      </c>
      <c r="F666" s="10">
        <v>40381</v>
      </c>
      <c r="G666" s="11">
        <v>7500</v>
      </c>
      <c r="H666" s="11">
        <v>7500</v>
      </c>
      <c r="I666" s="4" t="s">
        <v>366</v>
      </c>
      <c r="J666" s="4" t="s">
        <v>367</v>
      </c>
      <c r="K666" s="11">
        <v>0</v>
      </c>
      <c r="L666" s="4"/>
      <c r="M666" s="4"/>
      <c r="N666" s="11">
        <v>0</v>
      </c>
      <c r="O666" s="4"/>
      <c r="P666" s="4"/>
      <c r="Q666" s="11">
        <v>0</v>
      </c>
      <c r="R666" s="4"/>
      <c r="S666" s="12"/>
    </row>
    <row r="667" spans="1:19" x14ac:dyDescent="0.25">
      <c r="A667" s="9" t="s">
        <v>256</v>
      </c>
      <c r="B667" s="9" t="s">
        <v>256</v>
      </c>
      <c r="C667" s="4">
        <v>201004847</v>
      </c>
      <c r="D667" s="4" t="s">
        <v>1805</v>
      </c>
      <c r="E667" s="4" t="str">
        <f>"100042010"</f>
        <v>100042010</v>
      </c>
      <c r="F667" s="10">
        <v>40401</v>
      </c>
      <c r="G667" s="11">
        <v>49000</v>
      </c>
      <c r="H667" s="11">
        <v>49000</v>
      </c>
      <c r="I667" s="4" t="s">
        <v>366</v>
      </c>
      <c r="J667" s="4" t="s">
        <v>367</v>
      </c>
      <c r="K667" s="11">
        <v>0</v>
      </c>
      <c r="L667" s="4"/>
      <c r="M667" s="4"/>
      <c r="N667" s="11">
        <v>0</v>
      </c>
      <c r="O667" s="4"/>
      <c r="P667" s="4"/>
      <c r="Q667" s="11">
        <v>0</v>
      </c>
      <c r="R667" s="4"/>
      <c r="S667" s="12"/>
    </row>
    <row r="668" spans="1:19" x14ac:dyDescent="0.25">
      <c r="A668" s="9" t="s">
        <v>265</v>
      </c>
      <c r="B668" s="9" t="s">
        <v>265</v>
      </c>
      <c r="C668" s="4">
        <v>201000896</v>
      </c>
      <c r="D668" s="4" t="s">
        <v>1806</v>
      </c>
      <c r="E668" s="4" t="str">
        <f>"017122010"</f>
        <v>017122010</v>
      </c>
      <c r="F668" s="10">
        <v>40149</v>
      </c>
      <c r="G668" s="11">
        <v>5000</v>
      </c>
      <c r="H668" s="11">
        <v>5000</v>
      </c>
      <c r="I668" s="4" t="s">
        <v>366</v>
      </c>
      <c r="J668" s="4" t="s">
        <v>367</v>
      </c>
      <c r="K668" s="11">
        <v>0</v>
      </c>
      <c r="L668" s="4"/>
      <c r="M668" s="4"/>
      <c r="N668" s="11">
        <v>0</v>
      </c>
      <c r="O668" s="4"/>
      <c r="P668" s="4"/>
      <c r="Q668" s="11">
        <v>0</v>
      </c>
      <c r="R668" s="4"/>
      <c r="S668" s="12"/>
    </row>
    <row r="669" spans="1:19" x14ac:dyDescent="0.25">
      <c r="A669" s="9" t="s">
        <v>265</v>
      </c>
      <c r="B669" s="9" t="s">
        <v>265</v>
      </c>
      <c r="C669" s="4">
        <v>201001476</v>
      </c>
      <c r="D669" s="4" t="s">
        <v>1807</v>
      </c>
      <c r="E669" s="4" t="str">
        <f>"028902010"</f>
        <v>028902010</v>
      </c>
      <c r="F669" s="10">
        <v>40190</v>
      </c>
      <c r="G669" s="11">
        <v>4401.63</v>
      </c>
      <c r="H669" s="11">
        <v>4401.63</v>
      </c>
      <c r="I669" s="4" t="s">
        <v>54</v>
      </c>
      <c r="J669" s="4" t="s">
        <v>55</v>
      </c>
      <c r="K669" s="11">
        <v>0</v>
      </c>
      <c r="L669" s="4"/>
      <c r="M669" s="4"/>
      <c r="N669" s="11">
        <v>0</v>
      </c>
      <c r="O669" s="4"/>
      <c r="P669" s="4"/>
      <c r="Q669" s="11">
        <v>0</v>
      </c>
      <c r="R669" s="4"/>
      <c r="S669" s="12"/>
    </row>
    <row r="670" spans="1:19" x14ac:dyDescent="0.25">
      <c r="A670" s="9" t="s">
        <v>291</v>
      </c>
      <c r="B670" s="9" t="s">
        <v>291</v>
      </c>
      <c r="C670" s="4">
        <v>201000490</v>
      </c>
      <c r="D670" s="4" t="s">
        <v>1808</v>
      </c>
      <c r="E670" s="4" t="str">
        <f>"008772010"</f>
        <v>008772010</v>
      </c>
      <c r="F670" s="10">
        <v>40121</v>
      </c>
      <c r="G670" s="11">
        <v>320.3</v>
      </c>
      <c r="H670" s="11">
        <v>0</v>
      </c>
      <c r="I670" s="4"/>
      <c r="J670" s="4"/>
      <c r="K670" s="11">
        <v>0</v>
      </c>
      <c r="L670" s="4"/>
      <c r="M670" s="4"/>
      <c r="N670" s="11">
        <v>320.3</v>
      </c>
      <c r="O670" s="4" t="s">
        <v>56</v>
      </c>
      <c r="P670" s="4" t="s">
        <v>57</v>
      </c>
      <c r="Q670" s="11">
        <v>0</v>
      </c>
      <c r="R670" s="4"/>
      <c r="S670" s="12"/>
    </row>
    <row r="671" spans="1:19" x14ac:dyDescent="0.25">
      <c r="A671" s="9" t="s">
        <v>291</v>
      </c>
      <c r="B671" s="9" t="s">
        <v>291</v>
      </c>
      <c r="C671" s="4">
        <v>201002960</v>
      </c>
      <c r="D671" s="4" t="s">
        <v>1809</v>
      </c>
      <c r="E671" s="4" t="str">
        <f>"058572010"</f>
        <v>058572010</v>
      </c>
      <c r="F671" s="10">
        <v>40283</v>
      </c>
      <c r="G671" s="11">
        <v>4380</v>
      </c>
      <c r="H671" s="11">
        <v>4380</v>
      </c>
      <c r="I671" s="4" t="s">
        <v>54</v>
      </c>
      <c r="J671" s="4" t="s">
        <v>55</v>
      </c>
      <c r="K671" s="11">
        <v>0</v>
      </c>
      <c r="L671" s="4"/>
      <c r="M671" s="4"/>
      <c r="N671" s="11">
        <v>0</v>
      </c>
      <c r="O671" s="4"/>
      <c r="P671" s="4"/>
      <c r="Q671" s="11">
        <v>0</v>
      </c>
      <c r="R671" s="4"/>
      <c r="S671" s="12"/>
    </row>
    <row r="672" spans="1:19" x14ac:dyDescent="0.25">
      <c r="A672" s="9" t="s">
        <v>291</v>
      </c>
      <c r="B672" s="9" t="s">
        <v>291</v>
      </c>
      <c r="C672" s="4">
        <v>201003342</v>
      </c>
      <c r="D672" s="4"/>
      <c r="E672" s="4" t="str">
        <f>"066222010"</f>
        <v>066222010</v>
      </c>
      <c r="F672" s="10">
        <v>40310</v>
      </c>
      <c r="G672" s="11">
        <v>12.6</v>
      </c>
      <c r="H672" s="11">
        <v>12.6</v>
      </c>
      <c r="I672" s="4" t="s">
        <v>1766</v>
      </c>
      <c r="J672" s="4" t="s">
        <v>1767</v>
      </c>
      <c r="K672" s="11">
        <v>0</v>
      </c>
      <c r="L672" s="4"/>
      <c r="M672" s="4"/>
      <c r="N672" s="11">
        <v>0</v>
      </c>
      <c r="O672" s="4"/>
      <c r="P672" s="4"/>
      <c r="Q672" s="11">
        <v>0</v>
      </c>
      <c r="R672" s="4"/>
      <c r="S672" s="12"/>
    </row>
    <row r="673" spans="1:19" x14ac:dyDescent="0.25">
      <c r="A673" s="9" t="s">
        <v>291</v>
      </c>
      <c r="B673" s="9" t="s">
        <v>291</v>
      </c>
      <c r="C673" s="4">
        <v>201003921</v>
      </c>
      <c r="D673" s="4" t="s">
        <v>1810</v>
      </c>
      <c r="E673" s="4" t="str">
        <f>"079042010"</f>
        <v>079042010</v>
      </c>
      <c r="F673" s="10">
        <v>40344</v>
      </c>
      <c r="G673" s="11">
        <v>10000</v>
      </c>
      <c r="H673" s="11">
        <v>10000</v>
      </c>
      <c r="I673" s="4" t="s">
        <v>366</v>
      </c>
      <c r="J673" s="4" t="s">
        <v>367</v>
      </c>
      <c r="K673" s="11">
        <v>0</v>
      </c>
      <c r="L673" s="4"/>
      <c r="M673" s="4"/>
      <c r="N673" s="11">
        <v>0</v>
      </c>
      <c r="O673" s="4"/>
      <c r="P673" s="4"/>
      <c r="Q673" s="11">
        <v>0</v>
      </c>
      <c r="R673" s="4"/>
      <c r="S673" s="12"/>
    </row>
    <row r="674" spans="1:19" x14ac:dyDescent="0.25">
      <c r="A674" s="9" t="s">
        <v>291</v>
      </c>
      <c r="B674" s="9" t="s">
        <v>291</v>
      </c>
      <c r="C674" s="4">
        <v>201004057</v>
      </c>
      <c r="D674" s="4" t="s">
        <v>1811</v>
      </c>
      <c r="E674" s="4" t="str">
        <f>"080362010"</f>
        <v>080362010</v>
      </c>
      <c r="F674" s="10">
        <v>40346</v>
      </c>
      <c r="G674" s="11">
        <v>4619.09</v>
      </c>
      <c r="H674" s="11">
        <v>4619.09</v>
      </c>
      <c r="I674" s="4" t="s">
        <v>366</v>
      </c>
      <c r="J674" s="4" t="s">
        <v>367</v>
      </c>
      <c r="K674" s="11">
        <v>0</v>
      </c>
      <c r="L674" s="4"/>
      <c r="M674" s="4"/>
      <c r="N674" s="11">
        <v>0</v>
      </c>
      <c r="O674" s="4"/>
      <c r="P674" s="4"/>
      <c r="Q674" s="11">
        <v>0</v>
      </c>
      <c r="R674" s="4"/>
      <c r="S674" s="12"/>
    </row>
    <row r="675" spans="1:19" x14ac:dyDescent="0.25">
      <c r="A675" s="9" t="s">
        <v>291</v>
      </c>
      <c r="B675" s="9" t="s">
        <v>291</v>
      </c>
      <c r="C675" s="4">
        <v>201004646</v>
      </c>
      <c r="D675" s="4" t="s">
        <v>1812</v>
      </c>
      <c r="E675" s="4" t="str">
        <f>"093742010"</f>
        <v>093742010</v>
      </c>
      <c r="F675" s="10">
        <v>40375</v>
      </c>
      <c r="G675" s="11">
        <v>10000</v>
      </c>
      <c r="H675" s="11">
        <v>10000</v>
      </c>
      <c r="I675" s="4" t="s">
        <v>366</v>
      </c>
      <c r="J675" s="4" t="s">
        <v>367</v>
      </c>
      <c r="K675" s="11">
        <v>0</v>
      </c>
      <c r="L675" s="4"/>
      <c r="M675" s="4"/>
      <c r="N675" s="11">
        <v>0</v>
      </c>
      <c r="O675" s="4"/>
      <c r="P675" s="4"/>
      <c r="Q675" s="11">
        <v>0</v>
      </c>
      <c r="R675" s="4"/>
      <c r="S675" s="12"/>
    </row>
    <row r="676" spans="1:19" x14ac:dyDescent="0.25">
      <c r="A676" s="9" t="s">
        <v>1813</v>
      </c>
      <c r="B676" s="9" t="s">
        <v>291</v>
      </c>
      <c r="C676" s="4">
        <v>201004135</v>
      </c>
      <c r="D676" s="4"/>
      <c r="E676" s="4" t="str">
        <f>"081542010"</f>
        <v>081542010</v>
      </c>
      <c r="F676" s="10">
        <v>40353</v>
      </c>
      <c r="G676" s="11">
        <v>187500</v>
      </c>
      <c r="H676" s="11">
        <v>187500</v>
      </c>
      <c r="I676" s="4" t="s">
        <v>38</v>
      </c>
      <c r="J676" s="4" t="s">
        <v>39</v>
      </c>
      <c r="K676" s="11">
        <v>0</v>
      </c>
      <c r="L676" s="4"/>
      <c r="M676" s="4"/>
      <c r="N676" s="11">
        <v>0</v>
      </c>
      <c r="O676" s="4"/>
      <c r="P676" s="4"/>
      <c r="Q676" s="11">
        <v>0</v>
      </c>
      <c r="R676" s="4"/>
      <c r="S676" s="12"/>
    </row>
    <row r="677" spans="1:19" x14ac:dyDescent="0.25">
      <c r="A677" s="9" t="s">
        <v>1813</v>
      </c>
      <c r="B677" s="9" t="s">
        <v>291</v>
      </c>
      <c r="C677" s="4">
        <v>201004135</v>
      </c>
      <c r="D677" s="4"/>
      <c r="E677" s="4" t="str">
        <f>"081562010"</f>
        <v>081562010</v>
      </c>
      <c r="F677" s="10">
        <v>40353</v>
      </c>
      <c r="G677" s="11">
        <v>187500</v>
      </c>
      <c r="H677" s="11">
        <v>187500</v>
      </c>
      <c r="I677" s="4" t="s">
        <v>38</v>
      </c>
      <c r="J677" s="4" t="s">
        <v>39</v>
      </c>
      <c r="K677" s="11">
        <v>0</v>
      </c>
      <c r="L677" s="4"/>
      <c r="M677" s="4"/>
      <c r="N677" s="11">
        <v>0</v>
      </c>
      <c r="O677" s="4"/>
      <c r="P677" s="4"/>
      <c r="Q677" s="11">
        <v>0</v>
      </c>
      <c r="R677" s="4"/>
      <c r="S677" s="12"/>
    </row>
    <row r="678" spans="1:19" x14ac:dyDescent="0.25">
      <c r="A678" s="9" t="s">
        <v>1813</v>
      </c>
      <c r="B678" s="9" t="s">
        <v>291</v>
      </c>
      <c r="C678" s="4">
        <v>201004135</v>
      </c>
      <c r="D678" s="4"/>
      <c r="E678" s="4" t="str">
        <f>"081582010"</f>
        <v>081582010</v>
      </c>
      <c r="F678" s="10">
        <v>40353</v>
      </c>
      <c r="G678" s="11">
        <v>375000</v>
      </c>
      <c r="H678" s="11">
        <v>375000</v>
      </c>
      <c r="I678" s="4" t="s">
        <v>38</v>
      </c>
      <c r="J678" s="4" t="s">
        <v>39</v>
      </c>
      <c r="K678" s="11">
        <v>0</v>
      </c>
      <c r="L678" s="4"/>
      <c r="M678" s="4"/>
      <c r="N678" s="11">
        <v>0</v>
      </c>
      <c r="O678" s="4"/>
      <c r="P678" s="4"/>
      <c r="Q678" s="11">
        <v>0</v>
      </c>
      <c r="R678" s="4"/>
      <c r="S678" s="12"/>
    </row>
    <row r="679" spans="1:19" x14ac:dyDescent="0.25">
      <c r="A679" s="9" t="s">
        <v>1814</v>
      </c>
      <c r="B679" s="9" t="s">
        <v>291</v>
      </c>
      <c r="C679" s="4">
        <v>201003278</v>
      </c>
      <c r="D679" s="4" t="s">
        <v>1815</v>
      </c>
      <c r="E679" s="4" t="str">
        <f>"085952010"</f>
        <v>085952010</v>
      </c>
      <c r="F679" s="10">
        <v>40357</v>
      </c>
      <c r="G679" s="11">
        <v>29924.28</v>
      </c>
      <c r="H679" s="11">
        <v>29924.28</v>
      </c>
      <c r="I679" s="4" t="s">
        <v>1752</v>
      </c>
      <c r="J679" s="4" t="s">
        <v>1753</v>
      </c>
      <c r="K679" s="11">
        <v>0</v>
      </c>
      <c r="L679" s="4"/>
      <c r="M679" s="4"/>
      <c r="N679" s="11">
        <v>0</v>
      </c>
      <c r="O679" s="4"/>
      <c r="P679" s="4"/>
      <c r="Q679" s="11">
        <v>0</v>
      </c>
      <c r="R679" s="4"/>
      <c r="S679" s="12"/>
    </row>
    <row r="680" spans="1:19" x14ac:dyDescent="0.25">
      <c r="A680" s="9" t="s">
        <v>1814</v>
      </c>
      <c r="B680" s="9" t="s">
        <v>291</v>
      </c>
      <c r="C680" s="4">
        <v>201003279</v>
      </c>
      <c r="D680" s="4"/>
      <c r="E680" s="4" t="str">
        <f>"068922010"</f>
        <v>068922010</v>
      </c>
      <c r="F680" s="10">
        <v>40312</v>
      </c>
      <c r="G680" s="11">
        <v>3035.17</v>
      </c>
      <c r="H680" s="11">
        <v>3035.17</v>
      </c>
      <c r="I680" s="4" t="s">
        <v>366</v>
      </c>
      <c r="J680" s="4" t="s">
        <v>367</v>
      </c>
      <c r="K680" s="11">
        <v>0</v>
      </c>
      <c r="L680" s="4"/>
      <c r="M680" s="4"/>
      <c r="N680" s="11">
        <v>0</v>
      </c>
      <c r="O680" s="4"/>
      <c r="P680" s="4"/>
      <c r="Q680" s="11">
        <v>0</v>
      </c>
      <c r="R680" s="4"/>
      <c r="S680" s="12"/>
    </row>
    <row r="681" spans="1:19" x14ac:dyDescent="0.25">
      <c r="A681" s="9" t="s">
        <v>1814</v>
      </c>
      <c r="B681" s="9" t="s">
        <v>291</v>
      </c>
      <c r="C681" s="4">
        <v>201004498</v>
      </c>
      <c r="D681" s="4"/>
      <c r="E681" s="4" t="str">
        <f>"091022010"</f>
        <v>091022010</v>
      </c>
      <c r="F681" s="10">
        <v>40368</v>
      </c>
      <c r="G681" s="11">
        <v>5122.34</v>
      </c>
      <c r="H681" s="11">
        <v>5122.34</v>
      </c>
      <c r="I681" s="4" t="s">
        <v>366</v>
      </c>
      <c r="J681" s="4" t="s">
        <v>367</v>
      </c>
      <c r="K681" s="11">
        <v>0</v>
      </c>
      <c r="L681" s="4"/>
      <c r="M681" s="4"/>
      <c r="N681" s="11">
        <v>0</v>
      </c>
      <c r="O681" s="4"/>
      <c r="P681" s="4"/>
      <c r="Q681" s="11">
        <v>0</v>
      </c>
      <c r="R681" s="4"/>
      <c r="S681" s="12"/>
    </row>
    <row r="682" spans="1:19" x14ac:dyDescent="0.25">
      <c r="A682" s="9" t="s">
        <v>356</v>
      </c>
      <c r="B682" s="9" t="s">
        <v>356</v>
      </c>
      <c r="C682" s="4">
        <v>201000052</v>
      </c>
      <c r="D682" s="4" t="s">
        <v>2534</v>
      </c>
      <c r="E682" s="4" t="str">
        <f>"000602010"</f>
        <v>000602010</v>
      </c>
      <c r="F682" s="10">
        <v>40092</v>
      </c>
      <c r="G682" s="11">
        <v>24500</v>
      </c>
      <c r="H682" s="11">
        <v>18500</v>
      </c>
      <c r="I682" s="4" t="s">
        <v>366</v>
      </c>
      <c r="J682" s="4" t="s">
        <v>367</v>
      </c>
      <c r="K682" s="11">
        <v>6000</v>
      </c>
      <c r="L682" s="4" t="s">
        <v>366</v>
      </c>
      <c r="M682" s="4" t="s">
        <v>367</v>
      </c>
      <c r="N682" s="11">
        <v>0</v>
      </c>
      <c r="O682" s="4"/>
      <c r="P682" s="4"/>
      <c r="Q682" s="11">
        <v>0</v>
      </c>
      <c r="R682" s="4"/>
      <c r="S682" s="12"/>
    </row>
    <row r="683" spans="1:19" x14ac:dyDescent="0.25">
      <c r="A683" s="9" t="s">
        <v>356</v>
      </c>
      <c r="B683" s="9" t="s">
        <v>356</v>
      </c>
      <c r="C683" s="4">
        <v>201000098</v>
      </c>
      <c r="D683" s="4" t="s">
        <v>2534</v>
      </c>
      <c r="E683" s="4" t="str">
        <f>"001782010"</f>
        <v>001782010</v>
      </c>
      <c r="F683" s="10">
        <v>40094</v>
      </c>
      <c r="G683" s="11">
        <v>24500</v>
      </c>
      <c r="H683" s="11">
        <v>18500</v>
      </c>
      <c r="I683" s="4" t="s">
        <v>366</v>
      </c>
      <c r="J683" s="4" t="s">
        <v>367</v>
      </c>
      <c r="K683" s="11">
        <v>6000</v>
      </c>
      <c r="L683" s="4" t="s">
        <v>366</v>
      </c>
      <c r="M683" s="4" t="s">
        <v>367</v>
      </c>
      <c r="N683" s="11">
        <v>0</v>
      </c>
      <c r="O683" s="4"/>
      <c r="P683" s="4"/>
      <c r="Q683" s="11">
        <v>0</v>
      </c>
      <c r="R683" s="4"/>
      <c r="S683" s="12"/>
    </row>
    <row r="684" spans="1:19" x14ac:dyDescent="0.25">
      <c r="A684" s="9" t="s">
        <v>356</v>
      </c>
      <c r="B684" s="9" t="s">
        <v>356</v>
      </c>
      <c r="C684" s="4">
        <v>201000362</v>
      </c>
      <c r="D684" s="4"/>
      <c r="E684" s="4" t="str">
        <f>"006632010"</f>
        <v>006632010</v>
      </c>
      <c r="F684" s="10">
        <v>40115</v>
      </c>
      <c r="G684" s="11">
        <v>11647.5</v>
      </c>
      <c r="H684" s="11">
        <v>11647.5</v>
      </c>
      <c r="I684" s="4" t="s">
        <v>366</v>
      </c>
      <c r="J684" s="4" t="s">
        <v>367</v>
      </c>
      <c r="K684" s="11">
        <v>0</v>
      </c>
      <c r="L684" s="4"/>
      <c r="M684" s="4"/>
      <c r="N684" s="11">
        <v>0</v>
      </c>
      <c r="O684" s="4"/>
      <c r="P684" s="4"/>
      <c r="Q684" s="11">
        <v>0</v>
      </c>
      <c r="R684" s="4"/>
      <c r="S684" s="12"/>
    </row>
    <row r="685" spans="1:19" x14ac:dyDescent="0.25">
      <c r="A685" s="9" t="s">
        <v>356</v>
      </c>
      <c r="B685" s="9" t="s">
        <v>356</v>
      </c>
      <c r="C685" s="4">
        <v>201001489</v>
      </c>
      <c r="D685" s="4"/>
      <c r="E685" s="4" t="str">
        <f>"028842010"</f>
        <v>028842010</v>
      </c>
      <c r="F685" s="10">
        <v>40190</v>
      </c>
      <c r="G685" s="11">
        <v>4380.2</v>
      </c>
      <c r="H685" s="11">
        <v>4380.2</v>
      </c>
      <c r="I685" s="4" t="s">
        <v>366</v>
      </c>
      <c r="J685" s="4" t="s">
        <v>367</v>
      </c>
      <c r="K685" s="11">
        <v>0</v>
      </c>
      <c r="L685" s="4"/>
      <c r="M685" s="4"/>
      <c r="N685" s="11">
        <v>0</v>
      </c>
      <c r="O685" s="4"/>
      <c r="P685" s="4"/>
      <c r="Q685" s="11">
        <v>0</v>
      </c>
      <c r="R685" s="4"/>
      <c r="S685" s="12"/>
    </row>
    <row r="686" spans="1:19" x14ac:dyDescent="0.25">
      <c r="A686" s="9" t="s">
        <v>356</v>
      </c>
      <c r="B686" s="9" t="s">
        <v>356</v>
      </c>
      <c r="C686" s="4">
        <v>201003896</v>
      </c>
      <c r="D686" s="4" t="s">
        <v>1816</v>
      </c>
      <c r="E686" s="4" t="str">
        <f>"078842010"</f>
        <v>078842010</v>
      </c>
      <c r="F686" s="10">
        <v>40340</v>
      </c>
      <c r="G686" s="11">
        <v>19746.45</v>
      </c>
      <c r="H686" s="11">
        <v>19746.45</v>
      </c>
      <c r="I686" s="4" t="s">
        <v>366</v>
      </c>
      <c r="J686" s="4" t="s">
        <v>367</v>
      </c>
      <c r="K686" s="11">
        <v>0</v>
      </c>
      <c r="L686" s="4"/>
      <c r="M686" s="4"/>
      <c r="N686" s="11">
        <v>0</v>
      </c>
      <c r="O686" s="4"/>
      <c r="P686" s="4"/>
      <c r="Q686" s="11">
        <v>0</v>
      </c>
      <c r="R686" s="4"/>
      <c r="S686" s="12"/>
    </row>
    <row r="687" spans="1:19" x14ac:dyDescent="0.25">
      <c r="A687" s="9" t="s">
        <v>356</v>
      </c>
      <c r="B687" s="9" t="s">
        <v>356</v>
      </c>
      <c r="C687" s="4">
        <v>201005043</v>
      </c>
      <c r="D687" s="4"/>
      <c r="E687" s="4" t="str">
        <f>"103012010"</f>
        <v>103012010</v>
      </c>
      <c r="F687" s="10">
        <v>40409</v>
      </c>
      <c r="G687" s="11">
        <v>8107.25</v>
      </c>
      <c r="H687" s="11">
        <v>8107.25</v>
      </c>
      <c r="I687" s="4" t="s">
        <v>366</v>
      </c>
      <c r="J687" s="4" t="s">
        <v>367</v>
      </c>
      <c r="K687" s="11">
        <v>0</v>
      </c>
      <c r="L687" s="4"/>
      <c r="M687" s="4"/>
      <c r="N687" s="11">
        <v>0</v>
      </c>
      <c r="O687" s="4"/>
      <c r="P687" s="4"/>
      <c r="Q687" s="11">
        <v>0</v>
      </c>
      <c r="R687" s="4"/>
      <c r="S687" s="12"/>
    </row>
    <row r="688" spans="1:19" x14ac:dyDescent="0.25">
      <c r="A688" s="9" t="s">
        <v>359</v>
      </c>
      <c r="B688" s="9" t="s">
        <v>359</v>
      </c>
      <c r="C688" s="4">
        <v>200901484</v>
      </c>
      <c r="D688" s="4"/>
      <c r="E688" s="4" t="str">
        <f>"088532009"</f>
        <v>088532009</v>
      </c>
      <c r="F688" s="10">
        <v>40227</v>
      </c>
      <c r="G688" s="11">
        <v>3050.72</v>
      </c>
      <c r="H688" s="11">
        <v>3050.72</v>
      </c>
      <c r="I688" s="4" t="s">
        <v>366</v>
      </c>
      <c r="J688" s="4" t="s">
        <v>367</v>
      </c>
      <c r="K688" s="11">
        <v>0</v>
      </c>
      <c r="L688" s="4"/>
      <c r="M688" s="4"/>
      <c r="N688" s="11">
        <v>0</v>
      </c>
      <c r="O688" s="4"/>
      <c r="P688" s="4"/>
      <c r="Q688" s="11">
        <v>0</v>
      </c>
      <c r="R688" s="4"/>
      <c r="S688" s="12"/>
    </row>
    <row r="689" spans="1:19" x14ac:dyDescent="0.25">
      <c r="A689" s="9" t="s">
        <v>359</v>
      </c>
      <c r="B689" s="9" t="s">
        <v>359</v>
      </c>
      <c r="C689" s="4">
        <v>200904955</v>
      </c>
      <c r="D689" s="4"/>
      <c r="E689" s="4" t="str">
        <f>"088282009"</f>
        <v>088282009</v>
      </c>
      <c r="F689" s="10">
        <v>40116</v>
      </c>
      <c r="G689" s="11">
        <v>3290</v>
      </c>
      <c r="H689" s="11">
        <v>3290</v>
      </c>
      <c r="I689" s="4" t="s">
        <v>366</v>
      </c>
      <c r="J689" s="4" t="s">
        <v>367</v>
      </c>
      <c r="K689" s="11">
        <v>0</v>
      </c>
      <c r="L689" s="4"/>
      <c r="M689" s="4"/>
      <c r="N689" s="11">
        <v>0</v>
      </c>
      <c r="O689" s="4"/>
      <c r="P689" s="4"/>
      <c r="Q689" s="11">
        <v>0</v>
      </c>
      <c r="R689" s="4"/>
      <c r="S689" s="12"/>
    </row>
    <row r="690" spans="1:19" x14ac:dyDescent="0.25">
      <c r="A690" s="9" t="s">
        <v>359</v>
      </c>
      <c r="B690" s="9" t="s">
        <v>359</v>
      </c>
      <c r="C690" s="4">
        <v>200905185</v>
      </c>
      <c r="D690" s="4"/>
      <c r="E690" s="4" t="str">
        <f>"088582009"</f>
        <v>088582009</v>
      </c>
      <c r="F690" s="10">
        <v>40357</v>
      </c>
      <c r="G690" s="11">
        <v>6630.11</v>
      </c>
      <c r="H690" s="11">
        <v>6630.11</v>
      </c>
      <c r="I690" s="4" t="s">
        <v>366</v>
      </c>
      <c r="J690" s="4" t="s">
        <v>367</v>
      </c>
      <c r="K690" s="11">
        <v>0</v>
      </c>
      <c r="L690" s="4"/>
      <c r="M690" s="4"/>
      <c r="N690" s="11">
        <v>0</v>
      </c>
      <c r="O690" s="4"/>
      <c r="P690" s="4"/>
      <c r="Q690" s="11">
        <v>0</v>
      </c>
      <c r="R690" s="4"/>
      <c r="S690" s="12"/>
    </row>
    <row r="691" spans="1:19" x14ac:dyDescent="0.25">
      <c r="A691" s="9" t="s">
        <v>359</v>
      </c>
      <c r="B691" s="9" t="s">
        <v>359</v>
      </c>
      <c r="C691" s="4">
        <v>200905469</v>
      </c>
      <c r="D691" s="4"/>
      <c r="E691" s="4" t="str">
        <f>"088372009"</f>
        <v>088372009</v>
      </c>
      <c r="F691" s="10">
        <v>40133</v>
      </c>
      <c r="G691" s="11">
        <v>3119.38</v>
      </c>
      <c r="H691" s="11">
        <v>3119.38</v>
      </c>
      <c r="I691" s="4" t="s">
        <v>366</v>
      </c>
      <c r="J691" s="4" t="s">
        <v>367</v>
      </c>
      <c r="K691" s="11">
        <v>0</v>
      </c>
      <c r="L691" s="4"/>
      <c r="M691" s="4"/>
      <c r="N691" s="11">
        <v>0</v>
      </c>
      <c r="O691" s="4"/>
      <c r="P691" s="4"/>
      <c r="Q691" s="11">
        <v>0</v>
      </c>
      <c r="R691" s="4"/>
      <c r="S691" s="12"/>
    </row>
    <row r="692" spans="1:19" x14ac:dyDescent="0.25">
      <c r="A692" s="9" t="s">
        <v>359</v>
      </c>
      <c r="B692" s="9" t="s">
        <v>359</v>
      </c>
      <c r="C692" s="4">
        <v>200905679</v>
      </c>
      <c r="D692" s="4"/>
      <c r="E692" s="4" t="str">
        <f>"086982009"</f>
        <v>086982009</v>
      </c>
      <c r="F692" s="10">
        <v>40091</v>
      </c>
      <c r="G692" s="11">
        <v>8350.2800000000007</v>
      </c>
      <c r="H692" s="11">
        <v>8350.2800000000007</v>
      </c>
      <c r="I692" s="4" t="s">
        <v>366</v>
      </c>
      <c r="J692" s="4" t="s">
        <v>367</v>
      </c>
      <c r="K692" s="11">
        <v>0</v>
      </c>
      <c r="L692" s="4"/>
      <c r="M692" s="4"/>
      <c r="N692" s="11">
        <v>0</v>
      </c>
      <c r="O692" s="4"/>
      <c r="P692" s="4"/>
      <c r="Q692" s="11">
        <v>0</v>
      </c>
      <c r="R692" s="4"/>
      <c r="S692" s="12"/>
    </row>
    <row r="693" spans="1:19" x14ac:dyDescent="0.25">
      <c r="A693" s="9" t="s">
        <v>359</v>
      </c>
      <c r="B693" s="9" t="s">
        <v>359</v>
      </c>
      <c r="C693" s="4">
        <v>200905704</v>
      </c>
      <c r="D693" s="4"/>
      <c r="E693" s="4" t="str">
        <f>"088062009"</f>
        <v>088062009</v>
      </c>
      <c r="F693" s="10">
        <v>40101</v>
      </c>
      <c r="G693" s="11">
        <v>5175</v>
      </c>
      <c r="H693" s="11">
        <v>5175</v>
      </c>
      <c r="I693" s="4" t="s">
        <v>366</v>
      </c>
      <c r="J693" s="4" t="s">
        <v>367</v>
      </c>
      <c r="K693" s="11">
        <v>0</v>
      </c>
      <c r="L693" s="4"/>
      <c r="M693" s="4"/>
      <c r="N693" s="11">
        <v>0</v>
      </c>
      <c r="O693" s="4"/>
      <c r="P693" s="4"/>
      <c r="Q693" s="11">
        <v>0</v>
      </c>
      <c r="R693" s="4"/>
      <c r="S693" s="12"/>
    </row>
    <row r="694" spans="1:19" x14ac:dyDescent="0.25">
      <c r="A694" s="9" t="s">
        <v>359</v>
      </c>
      <c r="B694" s="9" t="s">
        <v>359</v>
      </c>
      <c r="C694" s="4">
        <v>200905859</v>
      </c>
      <c r="D694" s="4" t="s">
        <v>1817</v>
      </c>
      <c r="E694" s="4" t="str">
        <f>"087122009"</f>
        <v>087122009</v>
      </c>
      <c r="F694" s="10">
        <v>40092</v>
      </c>
      <c r="G694" s="11">
        <v>120000</v>
      </c>
      <c r="H694" s="11">
        <v>120000</v>
      </c>
      <c r="I694" s="4" t="s">
        <v>366</v>
      </c>
      <c r="J694" s="4" t="s">
        <v>367</v>
      </c>
      <c r="K694" s="11">
        <v>0</v>
      </c>
      <c r="L694" s="4"/>
      <c r="M694" s="4"/>
      <c r="N694" s="11">
        <v>0</v>
      </c>
      <c r="O694" s="4"/>
      <c r="P694" s="4"/>
      <c r="Q694" s="11">
        <v>0</v>
      </c>
      <c r="R694" s="4"/>
      <c r="S694" s="12"/>
    </row>
    <row r="695" spans="1:19" x14ac:dyDescent="0.25">
      <c r="A695" s="9" t="s">
        <v>359</v>
      </c>
      <c r="B695" s="9" t="s">
        <v>359</v>
      </c>
      <c r="C695" s="4">
        <v>200905877</v>
      </c>
      <c r="D695" s="4" t="s">
        <v>1818</v>
      </c>
      <c r="E695" s="4" t="str">
        <f>"087322009"</f>
        <v>087322009</v>
      </c>
      <c r="F695" s="10">
        <v>40094</v>
      </c>
      <c r="G695" s="11">
        <v>150000</v>
      </c>
      <c r="H695" s="11">
        <v>150000</v>
      </c>
      <c r="I695" s="4" t="s">
        <v>366</v>
      </c>
      <c r="J695" s="4" t="s">
        <v>367</v>
      </c>
      <c r="K695" s="11">
        <v>0</v>
      </c>
      <c r="L695" s="4"/>
      <c r="M695" s="4"/>
      <c r="N695" s="11">
        <v>0</v>
      </c>
      <c r="O695" s="4"/>
      <c r="P695" s="4"/>
      <c r="Q695" s="11">
        <v>0</v>
      </c>
      <c r="R695" s="4"/>
      <c r="S695" s="12"/>
    </row>
    <row r="696" spans="1:19" x14ac:dyDescent="0.25">
      <c r="A696" s="9" t="s">
        <v>359</v>
      </c>
      <c r="B696" s="9" t="s">
        <v>359</v>
      </c>
      <c r="C696" s="4">
        <v>200905879</v>
      </c>
      <c r="D696" s="4" t="s">
        <v>1818</v>
      </c>
      <c r="E696" s="4" t="str">
        <f>"087302009"</f>
        <v>087302009</v>
      </c>
      <c r="F696" s="10">
        <v>40094</v>
      </c>
      <c r="G696" s="11">
        <v>34000</v>
      </c>
      <c r="H696" s="11">
        <v>34000</v>
      </c>
      <c r="I696" s="4" t="s">
        <v>366</v>
      </c>
      <c r="J696" s="4" t="s">
        <v>367</v>
      </c>
      <c r="K696" s="11">
        <v>0</v>
      </c>
      <c r="L696" s="4"/>
      <c r="M696" s="4"/>
      <c r="N696" s="11">
        <v>0</v>
      </c>
      <c r="O696" s="4"/>
      <c r="P696" s="4"/>
      <c r="Q696" s="11">
        <v>0</v>
      </c>
      <c r="R696" s="4"/>
      <c r="S696" s="12"/>
    </row>
    <row r="697" spans="1:19" x14ac:dyDescent="0.25">
      <c r="A697" s="9" t="s">
        <v>359</v>
      </c>
      <c r="B697" s="9" t="s">
        <v>359</v>
      </c>
      <c r="C697" s="4">
        <v>200905886</v>
      </c>
      <c r="D697" s="4" t="s">
        <v>1819</v>
      </c>
      <c r="E697" s="4" t="str">
        <f>"086962009"</f>
        <v>086962009</v>
      </c>
      <c r="F697" s="10">
        <v>40092</v>
      </c>
      <c r="G697" s="11">
        <v>8000</v>
      </c>
      <c r="H697" s="11">
        <v>8000</v>
      </c>
      <c r="I697" s="4" t="s">
        <v>366</v>
      </c>
      <c r="J697" s="4" t="s">
        <v>367</v>
      </c>
      <c r="K697" s="11">
        <v>0</v>
      </c>
      <c r="L697" s="4"/>
      <c r="M697" s="4"/>
      <c r="N697" s="11">
        <v>0</v>
      </c>
      <c r="O697" s="4"/>
      <c r="P697" s="4"/>
      <c r="Q697" s="11">
        <v>0</v>
      </c>
      <c r="R697" s="4"/>
      <c r="S697" s="12"/>
    </row>
    <row r="698" spans="1:19" x14ac:dyDescent="0.25">
      <c r="A698" s="9" t="s">
        <v>359</v>
      </c>
      <c r="B698" s="9" t="s">
        <v>359</v>
      </c>
      <c r="C698" s="4">
        <v>200905893</v>
      </c>
      <c r="D698" s="4"/>
      <c r="E698" s="4" t="str">
        <f>"087082009"</f>
        <v>087082009</v>
      </c>
      <c r="F698" s="10">
        <v>40091</v>
      </c>
      <c r="G698" s="11">
        <v>5620.5</v>
      </c>
      <c r="H698" s="11">
        <v>5620.5</v>
      </c>
      <c r="I698" s="4" t="s">
        <v>366</v>
      </c>
      <c r="J698" s="4" t="s">
        <v>367</v>
      </c>
      <c r="K698" s="11">
        <v>0</v>
      </c>
      <c r="L698" s="4"/>
      <c r="M698" s="4"/>
      <c r="N698" s="11">
        <v>0</v>
      </c>
      <c r="O698" s="4"/>
      <c r="P698" s="4"/>
      <c r="Q698" s="11">
        <v>0</v>
      </c>
      <c r="R698" s="4"/>
      <c r="S698" s="12"/>
    </row>
    <row r="699" spans="1:19" x14ac:dyDescent="0.25">
      <c r="A699" s="9" t="s">
        <v>359</v>
      </c>
      <c r="B699" s="9" t="s">
        <v>359</v>
      </c>
      <c r="C699" s="4">
        <v>200905918</v>
      </c>
      <c r="D699" s="4" t="s">
        <v>1820</v>
      </c>
      <c r="E699" s="4" t="str">
        <f>"087602009"</f>
        <v>087602009</v>
      </c>
      <c r="F699" s="10">
        <v>40094</v>
      </c>
      <c r="G699" s="11">
        <v>17500</v>
      </c>
      <c r="H699" s="11">
        <v>17500</v>
      </c>
      <c r="I699" s="4" t="s">
        <v>366</v>
      </c>
      <c r="J699" s="4" t="s">
        <v>367</v>
      </c>
      <c r="K699" s="11">
        <v>0</v>
      </c>
      <c r="L699" s="4"/>
      <c r="M699" s="4"/>
      <c r="N699" s="11">
        <v>0</v>
      </c>
      <c r="O699" s="4"/>
      <c r="P699" s="4"/>
      <c r="Q699" s="11">
        <v>0</v>
      </c>
      <c r="R699" s="4"/>
      <c r="S699" s="12"/>
    </row>
    <row r="700" spans="1:19" x14ac:dyDescent="0.25">
      <c r="A700" s="9" t="s">
        <v>359</v>
      </c>
      <c r="B700" s="9" t="s">
        <v>359</v>
      </c>
      <c r="C700" s="4">
        <v>200905920</v>
      </c>
      <c r="D700" s="4" t="s">
        <v>1821</v>
      </c>
      <c r="E700" s="4" t="str">
        <f>"087522009"</f>
        <v>087522009</v>
      </c>
      <c r="F700" s="10">
        <v>40094</v>
      </c>
      <c r="G700" s="11">
        <v>97000</v>
      </c>
      <c r="H700" s="11">
        <v>97000</v>
      </c>
      <c r="I700" s="4" t="s">
        <v>366</v>
      </c>
      <c r="J700" s="4" t="s">
        <v>367</v>
      </c>
      <c r="K700" s="11">
        <v>0</v>
      </c>
      <c r="L700" s="4"/>
      <c r="M700" s="4"/>
      <c r="N700" s="11">
        <v>0</v>
      </c>
      <c r="O700" s="4"/>
      <c r="P700" s="4"/>
      <c r="Q700" s="11">
        <v>0</v>
      </c>
      <c r="R700" s="4"/>
      <c r="S700" s="12"/>
    </row>
    <row r="701" spans="1:19" x14ac:dyDescent="0.25">
      <c r="A701" s="9" t="s">
        <v>359</v>
      </c>
      <c r="B701" s="9" t="s">
        <v>359</v>
      </c>
      <c r="C701" s="4">
        <v>200905921</v>
      </c>
      <c r="D701" s="4"/>
      <c r="E701" s="4" t="str">
        <f>"087222009"</f>
        <v>087222009</v>
      </c>
      <c r="F701" s="10">
        <v>40094</v>
      </c>
      <c r="G701" s="11">
        <v>2986.64</v>
      </c>
      <c r="H701" s="11">
        <v>2986.64</v>
      </c>
      <c r="I701" s="4" t="s">
        <v>366</v>
      </c>
      <c r="J701" s="4" t="s">
        <v>367</v>
      </c>
      <c r="K701" s="11">
        <v>0</v>
      </c>
      <c r="L701" s="4"/>
      <c r="M701" s="4"/>
      <c r="N701" s="11">
        <v>0</v>
      </c>
      <c r="O701" s="4"/>
      <c r="P701" s="4"/>
      <c r="Q701" s="11">
        <v>0</v>
      </c>
      <c r="R701" s="4"/>
      <c r="S701" s="12"/>
    </row>
    <row r="702" spans="1:19" x14ac:dyDescent="0.25">
      <c r="A702" s="9" t="s">
        <v>359</v>
      </c>
      <c r="B702" s="9" t="s">
        <v>359</v>
      </c>
      <c r="C702" s="4">
        <v>200905923</v>
      </c>
      <c r="D702" s="4"/>
      <c r="E702" s="4" t="str">
        <f>"087502009"</f>
        <v>087502009</v>
      </c>
      <c r="F702" s="10">
        <v>40094</v>
      </c>
      <c r="G702" s="11">
        <v>6417.32</v>
      </c>
      <c r="H702" s="11">
        <v>6417.32</v>
      </c>
      <c r="I702" s="4" t="s">
        <v>366</v>
      </c>
      <c r="J702" s="4" t="s">
        <v>367</v>
      </c>
      <c r="K702" s="11">
        <v>0</v>
      </c>
      <c r="L702" s="4"/>
      <c r="M702" s="4"/>
      <c r="N702" s="11">
        <v>0</v>
      </c>
      <c r="O702" s="4"/>
      <c r="P702" s="4"/>
      <c r="Q702" s="11">
        <v>0</v>
      </c>
      <c r="R702" s="4"/>
      <c r="S702" s="12"/>
    </row>
    <row r="703" spans="1:19" x14ac:dyDescent="0.25">
      <c r="A703" s="9" t="s">
        <v>359</v>
      </c>
      <c r="B703" s="9" t="s">
        <v>359</v>
      </c>
      <c r="C703" s="4">
        <v>200905926</v>
      </c>
      <c r="D703" s="4"/>
      <c r="E703" s="4" t="str">
        <f>"088302009"</f>
        <v>088302009</v>
      </c>
      <c r="F703" s="10">
        <v>40119</v>
      </c>
      <c r="G703" s="11">
        <v>7500</v>
      </c>
      <c r="H703" s="11">
        <v>7500</v>
      </c>
      <c r="I703" s="4" t="s">
        <v>366</v>
      </c>
      <c r="J703" s="4" t="s">
        <v>367</v>
      </c>
      <c r="K703" s="11">
        <v>0</v>
      </c>
      <c r="L703" s="4"/>
      <c r="M703" s="4"/>
      <c r="N703" s="11">
        <v>0</v>
      </c>
      <c r="O703" s="4"/>
      <c r="P703" s="4"/>
      <c r="Q703" s="11">
        <v>0</v>
      </c>
      <c r="R703" s="4"/>
      <c r="S703" s="12"/>
    </row>
    <row r="704" spans="1:19" x14ac:dyDescent="0.25">
      <c r="A704" s="9" t="s">
        <v>359</v>
      </c>
      <c r="B704" s="9" t="s">
        <v>359</v>
      </c>
      <c r="C704" s="4">
        <v>200905930</v>
      </c>
      <c r="D704" s="4" t="s">
        <v>1822</v>
      </c>
      <c r="E704" s="4" t="str">
        <f>"087772009"</f>
        <v>087772009</v>
      </c>
      <c r="F704" s="10">
        <v>40094</v>
      </c>
      <c r="G704" s="11">
        <v>28000</v>
      </c>
      <c r="H704" s="11">
        <v>28000</v>
      </c>
      <c r="I704" s="4" t="s">
        <v>366</v>
      </c>
      <c r="J704" s="4" t="s">
        <v>367</v>
      </c>
      <c r="K704" s="11">
        <v>0</v>
      </c>
      <c r="L704" s="4"/>
      <c r="M704" s="4"/>
      <c r="N704" s="11">
        <v>0</v>
      </c>
      <c r="O704" s="4"/>
      <c r="P704" s="4"/>
      <c r="Q704" s="11">
        <v>0</v>
      </c>
      <c r="R704" s="4"/>
      <c r="S704" s="12"/>
    </row>
    <row r="705" spans="1:19" x14ac:dyDescent="0.25">
      <c r="A705" s="9" t="s">
        <v>359</v>
      </c>
      <c r="B705" s="9" t="s">
        <v>359</v>
      </c>
      <c r="C705" s="4">
        <v>200905934</v>
      </c>
      <c r="D705" s="4"/>
      <c r="E705" s="4" t="str">
        <f>"087462009"</f>
        <v>087462009</v>
      </c>
      <c r="F705" s="10">
        <v>40094</v>
      </c>
      <c r="G705" s="11">
        <v>4370.32</v>
      </c>
      <c r="H705" s="11">
        <v>4370.32</v>
      </c>
      <c r="I705" s="4" t="s">
        <v>366</v>
      </c>
      <c r="J705" s="4" t="s">
        <v>367</v>
      </c>
      <c r="K705" s="11">
        <v>0</v>
      </c>
      <c r="L705" s="4"/>
      <c r="M705" s="4"/>
      <c r="N705" s="11">
        <v>0</v>
      </c>
      <c r="O705" s="4"/>
      <c r="P705" s="4"/>
      <c r="Q705" s="11">
        <v>0</v>
      </c>
      <c r="R705" s="4"/>
      <c r="S705" s="12"/>
    </row>
    <row r="706" spans="1:19" x14ac:dyDescent="0.25">
      <c r="A706" s="9" t="s">
        <v>359</v>
      </c>
      <c r="B706" s="9" t="s">
        <v>359</v>
      </c>
      <c r="C706" s="4">
        <v>200905941</v>
      </c>
      <c r="D706" s="4"/>
      <c r="E706" s="4" t="str">
        <f>"087402009"</f>
        <v>087402009</v>
      </c>
      <c r="F706" s="10">
        <v>40094</v>
      </c>
      <c r="G706" s="11">
        <v>4199.0600000000004</v>
      </c>
      <c r="H706" s="11">
        <v>4199.0600000000004</v>
      </c>
      <c r="I706" s="4" t="s">
        <v>366</v>
      </c>
      <c r="J706" s="4" t="s">
        <v>367</v>
      </c>
      <c r="K706" s="11">
        <v>0</v>
      </c>
      <c r="L706" s="4"/>
      <c r="M706" s="4"/>
      <c r="N706" s="11">
        <v>0</v>
      </c>
      <c r="O706" s="4"/>
      <c r="P706" s="4"/>
      <c r="Q706" s="11">
        <v>0</v>
      </c>
      <c r="R706" s="4"/>
      <c r="S706" s="12"/>
    </row>
    <row r="707" spans="1:19" x14ac:dyDescent="0.25">
      <c r="A707" s="9" t="s">
        <v>359</v>
      </c>
      <c r="B707" s="9" t="s">
        <v>359</v>
      </c>
      <c r="C707" s="4">
        <v>200905945</v>
      </c>
      <c r="D707" s="4"/>
      <c r="E707" s="4" t="str">
        <f>"087442009"</f>
        <v>087442009</v>
      </c>
      <c r="F707" s="10">
        <v>40092</v>
      </c>
      <c r="G707" s="11">
        <v>4576.0200000000004</v>
      </c>
      <c r="H707" s="11">
        <v>4576.0200000000004</v>
      </c>
      <c r="I707" s="4" t="s">
        <v>366</v>
      </c>
      <c r="J707" s="4" t="s">
        <v>367</v>
      </c>
      <c r="K707" s="11">
        <v>0</v>
      </c>
      <c r="L707" s="4"/>
      <c r="M707" s="4"/>
      <c r="N707" s="11">
        <v>0</v>
      </c>
      <c r="O707" s="4"/>
      <c r="P707" s="4"/>
      <c r="Q707" s="11">
        <v>0</v>
      </c>
      <c r="R707" s="4"/>
      <c r="S707" s="12"/>
    </row>
    <row r="708" spans="1:19" x14ac:dyDescent="0.25">
      <c r="A708" s="9" t="s">
        <v>359</v>
      </c>
      <c r="B708" s="9" t="s">
        <v>359</v>
      </c>
      <c r="C708" s="4">
        <v>201000046</v>
      </c>
      <c r="D708" s="4"/>
      <c r="E708" s="4" t="str">
        <f>"001482010"</f>
        <v>001482010</v>
      </c>
      <c r="F708" s="10">
        <v>40094</v>
      </c>
      <c r="G708" s="11">
        <v>40503.58</v>
      </c>
      <c r="H708" s="11">
        <v>40503.58</v>
      </c>
      <c r="I708" s="4" t="s">
        <v>1823</v>
      </c>
      <c r="J708" s="4" t="s">
        <v>1824</v>
      </c>
      <c r="K708" s="11">
        <v>0</v>
      </c>
      <c r="L708" s="4"/>
      <c r="M708" s="4"/>
      <c r="N708" s="11">
        <v>0</v>
      </c>
      <c r="O708" s="4"/>
      <c r="P708" s="4"/>
      <c r="Q708" s="11">
        <v>0</v>
      </c>
      <c r="R708" s="4"/>
      <c r="S708" s="12"/>
    </row>
    <row r="709" spans="1:19" x14ac:dyDescent="0.25">
      <c r="A709" s="9" t="s">
        <v>359</v>
      </c>
      <c r="B709" s="9" t="s">
        <v>359</v>
      </c>
      <c r="C709" s="4">
        <v>201000059</v>
      </c>
      <c r="D709" s="4"/>
      <c r="E709" s="4" t="str">
        <f>"001342010"</f>
        <v>001342010</v>
      </c>
      <c r="F709" s="10">
        <v>40094</v>
      </c>
      <c r="G709" s="11">
        <v>6024.94</v>
      </c>
      <c r="H709" s="11">
        <v>6024.94</v>
      </c>
      <c r="I709" s="4" t="s">
        <v>366</v>
      </c>
      <c r="J709" s="4" t="s">
        <v>367</v>
      </c>
      <c r="K709" s="11">
        <v>0</v>
      </c>
      <c r="L709" s="4"/>
      <c r="M709" s="4"/>
      <c r="N709" s="11">
        <v>0</v>
      </c>
      <c r="O709" s="4"/>
      <c r="P709" s="4"/>
      <c r="Q709" s="11">
        <v>0</v>
      </c>
      <c r="R709" s="4"/>
      <c r="S709" s="12"/>
    </row>
    <row r="710" spans="1:19" x14ac:dyDescent="0.25">
      <c r="A710" s="9" t="s">
        <v>359</v>
      </c>
      <c r="B710" s="9" t="s">
        <v>359</v>
      </c>
      <c r="C710" s="4">
        <v>201000107</v>
      </c>
      <c r="D710" s="4" t="s">
        <v>1825</v>
      </c>
      <c r="E710" s="4" t="str">
        <f>"002962010"</f>
        <v>002962010</v>
      </c>
      <c r="F710" s="10">
        <v>40100</v>
      </c>
      <c r="G710" s="11">
        <v>21498.21</v>
      </c>
      <c r="H710" s="11">
        <v>21498.21</v>
      </c>
      <c r="I710" s="4" t="s">
        <v>366</v>
      </c>
      <c r="J710" s="4" t="s">
        <v>367</v>
      </c>
      <c r="K710" s="11">
        <v>0</v>
      </c>
      <c r="L710" s="4"/>
      <c r="M710" s="4"/>
      <c r="N710" s="11">
        <v>0</v>
      </c>
      <c r="O710" s="4"/>
      <c r="P710" s="4"/>
      <c r="Q710" s="11">
        <v>0</v>
      </c>
      <c r="R710" s="4"/>
      <c r="S710" s="12"/>
    </row>
    <row r="711" spans="1:19" x14ac:dyDescent="0.25">
      <c r="A711" s="9" t="s">
        <v>359</v>
      </c>
      <c r="B711" s="9" t="s">
        <v>359</v>
      </c>
      <c r="C711" s="4">
        <v>201000122</v>
      </c>
      <c r="D711" s="4" t="s">
        <v>1826</v>
      </c>
      <c r="E711" s="4" t="str">
        <f>"002882010"</f>
        <v>002882010</v>
      </c>
      <c r="F711" s="10">
        <v>40101</v>
      </c>
      <c r="G711" s="11">
        <v>5200</v>
      </c>
      <c r="H711" s="11">
        <v>5200</v>
      </c>
      <c r="I711" s="4" t="s">
        <v>366</v>
      </c>
      <c r="J711" s="4" t="s">
        <v>367</v>
      </c>
      <c r="K711" s="11">
        <v>0</v>
      </c>
      <c r="L711" s="4"/>
      <c r="M711" s="4"/>
      <c r="N711" s="11">
        <v>0</v>
      </c>
      <c r="O711" s="4"/>
      <c r="P711" s="4"/>
      <c r="Q711" s="11">
        <v>0</v>
      </c>
      <c r="R711" s="4"/>
      <c r="S711" s="12"/>
    </row>
    <row r="712" spans="1:19" x14ac:dyDescent="0.25">
      <c r="A712" s="9" t="s">
        <v>359</v>
      </c>
      <c r="B712" s="9" t="s">
        <v>359</v>
      </c>
      <c r="C712" s="4">
        <v>201000123</v>
      </c>
      <c r="D712" s="4" t="s">
        <v>1826</v>
      </c>
      <c r="E712" s="4" t="str">
        <f>"002582010"</f>
        <v>002582010</v>
      </c>
      <c r="F712" s="10">
        <v>40101</v>
      </c>
      <c r="G712" s="11">
        <v>5000</v>
      </c>
      <c r="H712" s="11">
        <v>5000</v>
      </c>
      <c r="I712" s="4" t="s">
        <v>366</v>
      </c>
      <c r="J712" s="4" t="s">
        <v>367</v>
      </c>
      <c r="K712" s="11">
        <v>0</v>
      </c>
      <c r="L712" s="4"/>
      <c r="M712" s="4"/>
      <c r="N712" s="11">
        <v>0</v>
      </c>
      <c r="O712" s="4"/>
      <c r="P712" s="4"/>
      <c r="Q712" s="11">
        <v>0</v>
      </c>
      <c r="R712" s="4"/>
      <c r="S712" s="12"/>
    </row>
    <row r="713" spans="1:19" x14ac:dyDescent="0.25">
      <c r="A713" s="9" t="s">
        <v>359</v>
      </c>
      <c r="B713" s="9" t="s">
        <v>359</v>
      </c>
      <c r="C713" s="4">
        <v>201000126</v>
      </c>
      <c r="D713" s="4" t="s">
        <v>1827</v>
      </c>
      <c r="E713" s="4" t="str">
        <f>"003662010"</f>
        <v>003662010</v>
      </c>
      <c r="F713" s="10">
        <v>40105</v>
      </c>
      <c r="G713" s="11">
        <v>16282.24</v>
      </c>
      <c r="H713" s="11">
        <v>16282.24</v>
      </c>
      <c r="I713" s="4" t="s">
        <v>366</v>
      </c>
      <c r="J713" s="4" t="s">
        <v>367</v>
      </c>
      <c r="K713" s="11">
        <v>0</v>
      </c>
      <c r="L713" s="4"/>
      <c r="M713" s="4"/>
      <c r="N713" s="11">
        <v>0</v>
      </c>
      <c r="O713" s="4"/>
      <c r="P713" s="4"/>
      <c r="Q713" s="11">
        <v>0</v>
      </c>
      <c r="R713" s="4"/>
      <c r="S713" s="12"/>
    </row>
    <row r="714" spans="1:19" x14ac:dyDescent="0.25">
      <c r="A714" s="9" t="s">
        <v>359</v>
      </c>
      <c r="B714" s="9" t="s">
        <v>359</v>
      </c>
      <c r="C714" s="4">
        <v>201000127</v>
      </c>
      <c r="D714" s="4" t="s">
        <v>1828</v>
      </c>
      <c r="E714" s="4" t="str">
        <f>"002862010"</f>
        <v>002862010</v>
      </c>
      <c r="F714" s="10">
        <v>40099</v>
      </c>
      <c r="G714" s="11">
        <v>16000</v>
      </c>
      <c r="H714" s="11">
        <v>16000</v>
      </c>
      <c r="I714" s="4" t="s">
        <v>366</v>
      </c>
      <c r="J714" s="4" t="s">
        <v>367</v>
      </c>
      <c r="K714" s="11">
        <v>0</v>
      </c>
      <c r="L714" s="4"/>
      <c r="M714" s="4"/>
      <c r="N714" s="11">
        <v>0</v>
      </c>
      <c r="O714" s="4"/>
      <c r="P714" s="4"/>
      <c r="Q714" s="11">
        <v>0</v>
      </c>
      <c r="R714" s="4"/>
      <c r="S714" s="12"/>
    </row>
    <row r="715" spans="1:19" x14ac:dyDescent="0.25">
      <c r="A715" s="9" t="s">
        <v>359</v>
      </c>
      <c r="B715" s="9" t="s">
        <v>359</v>
      </c>
      <c r="C715" s="4">
        <v>201000128</v>
      </c>
      <c r="D715" s="4" t="s">
        <v>1829</v>
      </c>
      <c r="E715" s="4" t="str">
        <f>"002902010"</f>
        <v>002902010</v>
      </c>
      <c r="F715" s="10">
        <v>40101</v>
      </c>
      <c r="G715" s="11">
        <v>24000</v>
      </c>
      <c r="H715" s="11">
        <v>24000</v>
      </c>
      <c r="I715" s="4" t="s">
        <v>366</v>
      </c>
      <c r="J715" s="4" t="s">
        <v>367</v>
      </c>
      <c r="K715" s="11">
        <v>0</v>
      </c>
      <c r="L715" s="4"/>
      <c r="M715" s="4"/>
      <c r="N715" s="11">
        <v>0</v>
      </c>
      <c r="O715" s="4"/>
      <c r="P715" s="4"/>
      <c r="Q715" s="11">
        <v>0</v>
      </c>
      <c r="R715" s="4"/>
      <c r="S715" s="12"/>
    </row>
    <row r="716" spans="1:19" x14ac:dyDescent="0.25">
      <c r="A716" s="9" t="s">
        <v>359</v>
      </c>
      <c r="B716" s="9" t="s">
        <v>359</v>
      </c>
      <c r="C716" s="4">
        <v>201000129</v>
      </c>
      <c r="D716" s="4" t="s">
        <v>1827</v>
      </c>
      <c r="E716" s="4" t="str">
        <f>"003642010"</f>
        <v>003642010</v>
      </c>
      <c r="F716" s="10">
        <v>40105</v>
      </c>
      <c r="G716" s="11">
        <v>27518.34</v>
      </c>
      <c r="H716" s="11">
        <v>27518.34</v>
      </c>
      <c r="I716" s="4" t="s">
        <v>366</v>
      </c>
      <c r="J716" s="4" t="s">
        <v>367</v>
      </c>
      <c r="K716" s="11">
        <v>0</v>
      </c>
      <c r="L716" s="4"/>
      <c r="M716" s="4"/>
      <c r="N716" s="11">
        <v>0</v>
      </c>
      <c r="O716" s="4"/>
      <c r="P716" s="4"/>
      <c r="Q716" s="11">
        <v>0</v>
      </c>
      <c r="R716" s="4"/>
      <c r="S716" s="12"/>
    </row>
    <row r="717" spans="1:19" x14ac:dyDescent="0.25">
      <c r="A717" s="9" t="s">
        <v>359</v>
      </c>
      <c r="B717" s="9" t="s">
        <v>359</v>
      </c>
      <c r="C717" s="4">
        <v>201000130</v>
      </c>
      <c r="D717" s="4" t="s">
        <v>1827</v>
      </c>
      <c r="E717" s="4" t="str">
        <f>"003622010"</f>
        <v>003622010</v>
      </c>
      <c r="F717" s="10">
        <v>40105</v>
      </c>
      <c r="G717" s="11">
        <v>4540.45</v>
      </c>
      <c r="H717" s="11">
        <v>4540.45</v>
      </c>
      <c r="I717" s="4" t="s">
        <v>366</v>
      </c>
      <c r="J717" s="4" t="s">
        <v>367</v>
      </c>
      <c r="K717" s="11">
        <v>0</v>
      </c>
      <c r="L717" s="4"/>
      <c r="M717" s="4"/>
      <c r="N717" s="11">
        <v>0</v>
      </c>
      <c r="O717" s="4"/>
      <c r="P717" s="4"/>
      <c r="Q717" s="11">
        <v>0</v>
      </c>
      <c r="R717" s="4"/>
      <c r="S717" s="12"/>
    </row>
    <row r="718" spans="1:19" x14ac:dyDescent="0.25">
      <c r="A718" s="9" t="s">
        <v>359</v>
      </c>
      <c r="B718" s="9" t="s">
        <v>359</v>
      </c>
      <c r="C718" s="4">
        <v>201000131</v>
      </c>
      <c r="D718" s="4" t="s">
        <v>1827</v>
      </c>
      <c r="E718" s="4" t="str">
        <f>"003602010"</f>
        <v>003602010</v>
      </c>
      <c r="F718" s="10">
        <v>40105</v>
      </c>
      <c r="G718" s="11">
        <v>5763.3</v>
      </c>
      <c r="H718" s="11">
        <v>5763.3</v>
      </c>
      <c r="I718" s="4" t="s">
        <v>366</v>
      </c>
      <c r="J718" s="4" t="s">
        <v>367</v>
      </c>
      <c r="K718" s="11">
        <v>0</v>
      </c>
      <c r="L718" s="4"/>
      <c r="M718" s="4"/>
      <c r="N718" s="11">
        <v>0</v>
      </c>
      <c r="O718" s="4"/>
      <c r="P718" s="4"/>
      <c r="Q718" s="11">
        <v>0</v>
      </c>
      <c r="R718" s="4"/>
      <c r="S718" s="12"/>
    </row>
    <row r="719" spans="1:19" x14ac:dyDescent="0.25">
      <c r="A719" s="9" t="s">
        <v>359</v>
      </c>
      <c r="B719" s="9" t="s">
        <v>359</v>
      </c>
      <c r="C719" s="4">
        <v>201000149</v>
      </c>
      <c r="D719" s="4"/>
      <c r="E719" s="4" t="str">
        <f>"004142010"</f>
        <v>004142010</v>
      </c>
      <c r="F719" s="10">
        <v>40105</v>
      </c>
      <c r="G719" s="11">
        <v>4418.1400000000003</v>
      </c>
      <c r="H719" s="11">
        <v>4418.1400000000003</v>
      </c>
      <c r="I719" s="4" t="s">
        <v>366</v>
      </c>
      <c r="J719" s="4" t="s">
        <v>367</v>
      </c>
      <c r="K719" s="11">
        <v>0</v>
      </c>
      <c r="L719" s="4"/>
      <c r="M719" s="4"/>
      <c r="N719" s="11">
        <v>0</v>
      </c>
      <c r="O719" s="4"/>
      <c r="P719" s="4"/>
      <c r="Q719" s="11">
        <v>0</v>
      </c>
      <c r="R719" s="4"/>
      <c r="S719" s="12"/>
    </row>
    <row r="720" spans="1:19" x14ac:dyDescent="0.25">
      <c r="A720" s="9" t="s">
        <v>359</v>
      </c>
      <c r="B720" s="9" t="s">
        <v>359</v>
      </c>
      <c r="C720" s="4">
        <v>201000169</v>
      </c>
      <c r="D720" s="4"/>
      <c r="E720" s="4" t="str">
        <f>"003722010"</f>
        <v>003722010</v>
      </c>
      <c r="F720" s="10">
        <v>40105</v>
      </c>
      <c r="G720" s="11">
        <v>11037.06</v>
      </c>
      <c r="H720" s="11">
        <v>11037.06</v>
      </c>
      <c r="I720" s="4" t="s">
        <v>366</v>
      </c>
      <c r="J720" s="4" t="s">
        <v>367</v>
      </c>
      <c r="K720" s="11">
        <v>0</v>
      </c>
      <c r="L720" s="4"/>
      <c r="M720" s="4"/>
      <c r="N720" s="11">
        <v>0</v>
      </c>
      <c r="O720" s="4"/>
      <c r="P720" s="4"/>
      <c r="Q720" s="11">
        <v>0</v>
      </c>
      <c r="R720" s="4"/>
      <c r="S720" s="12"/>
    </row>
    <row r="721" spans="1:19" x14ac:dyDescent="0.25">
      <c r="A721" s="9" t="s">
        <v>359</v>
      </c>
      <c r="B721" s="9" t="s">
        <v>359</v>
      </c>
      <c r="C721" s="4">
        <v>201000183</v>
      </c>
      <c r="D721" s="4"/>
      <c r="E721" s="4" t="str">
        <f>"004672010"</f>
        <v>004672010</v>
      </c>
      <c r="F721" s="10">
        <v>40106</v>
      </c>
      <c r="G721" s="11">
        <v>9825.4599999999991</v>
      </c>
      <c r="H721" s="11">
        <v>9825.4599999999991</v>
      </c>
      <c r="I721" s="4" t="s">
        <v>54</v>
      </c>
      <c r="J721" s="4" t="s">
        <v>55</v>
      </c>
      <c r="K721" s="11">
        <v>0</v>
      </c>
      <c r="L721" s="4"/>
      <c r="M721" s="4"/>
      <c r="N721" s="11">
        <v>0</v>
      </c>
      <c r="O721" s="4"/>
      <c r="P721" s="4"/>
      <c r="Q721" s="11">
        <v>0</v>
      </c>
      <c r="R721" s="4"/>
      <c r="S721" s="12"/>
    </row>
    <row r="722" spans="1:19" x14ac:dyDescent="0.25">
      <c r="A722" s="9" t="s">
        <v>359</v>
      </c>
      <c r="B722" s="9" t="s">
        <v>359</v>
      </c>
      <c r="C722" s="4">
        <v>201000216</v>
      </c>
      <c r="D722" s="4" t="s">
        <v>1830</v>
      </c>
      <c r="E722" s="4" t="str">
        <f>"004512010"</f>
        <v>004512010</v>
      </c>
      <c r="F722" s="10">
        <v>40105</v>
      </c>
      <c r="G722" s="11">
        <v>150000</v>
      </c>
      <c r="H722" s="11">
        <v>150000</v>
      </c>
      <c r="I722" s="4" t="s">
        <v>366</v>
      </c>
      <c r="J722" s="4" t="s">
        <v>367</v>
      </c>
      <c r="K722" s="11">
        <v>0</v>
      </c>
      <c r="L722" s="4"/>
      <c r="M722" s="4"/>
      <c r="N722" s="11">
        <v>0</v>
      </c>
      <c r="O722" s="4"/>
      <c r="P722" s="4"/>
      <c r="Q722" s="11">
        <v>0</v>
      </c>
      <c r="R722" s="4"/>
      <c r="S722" s="12"/>
    </row>
    <row r="723" spans="1:19" x14ac:dyDescent="0.25">
      <c r="A723" s="9" t="s">
        <v>359</v>
      </c>
      <c r="B723" s="9" t="s">
        <v>359</v>
      </c>
      <c r="C723" s="4">
        <v>201000220</v>
      </c>
      <c r="D723" s="4"/>
      <c r="E723" s="4" t="str">
        <f>"004692010"</f>
        <v>004692010</v>
      </c>
      <c r="F723" s="10">
        <v>40106</v>
      </c>
      <c r="G723" s="11">
        <v>3160.14</v>
      </c>
      <c r="H723" s="11">
        <v>3160.14</v>
      </c>
      <c r="I723" s="4" t="s">
        <v>366</v>
      </c>
      <c r="J723" s="4" t="s">
        <v>367</v>
      </c>
      <c r="K723" s="11">
        <v>0</v>
      </c>
      <c r="L723" s="4"/>
      <c r="M723" s="4"/>
      <c r="N723" s="11">
        <v>0</v>
      </c>
      <c r="O723" s="4"/>
      <c r="P723" s="4"/>
      <c r="Q723" s="11">
        <v>0</v>
      </c>
      <c r="R723" s="4"/>
      <c r="S723" s="12"/>
    </row>
    <row r="724" spans="1:19" x14ac:dyDescent="0.25">
      <c r="A724" s="9" t="s">
        <v>359</v>
      </c>
      <c r="B724" s="9" t="s">
        <v>359</v>
      </c>
      <c r="C724" s="4">
        <v>201000222</v>
      </c>
      <c r="D724" s="4"/>
      <c r="E724" s="4" t="str">
        <f>"004712010"</f>
        <v>004712010</v>
      </c>
      <c r="F724" s="10">
        <v>40106</v>
      </c>
      <c r="G724" s="11">
        <v>3036.03</v>
      </c>
      <c r="H724" s="11">
        <v>3036.03</v>
      </c>
      <c r="I724" s="4" t="s">
        <v>366</v>
      </c>
      <c r="J724" s="4" t="s">
        <v>367</v>
      </c>
      <c r="K724" s="11">
        <v>0</v>
      </c>
      <c r="L724" s="4"/>
      <c r="M724" s="4"/>
      <c r="N724" s="11">
        <v>0</v>
      </c>
      <c r="O724" s="4"/>
      <c r="P724" s="4"/>
      <c r="Q724" s="11">
        <v>0</v>
      </c>
      <c r="R724" s="4"/>
      <c r="S724" s="12"/>
    </row>
    <row r="725" spans="1:19" x14ac:dyDescent="0.25">
      <c r="A725" s="9" t="s">
        <v>359</v>
      </c>
      <c r="B725" s="9" t="s">
        <v>359</v>
      </c>
      <c r="C725" s="4">
        <v>201000234</v>
      </c>
      <c r="D725" s="4"/>
      <c r="E725" s="4" t="str">
        <f>"004912010"</f>
        <v>004912010</v>
      </c>
      <c r="F725" s="10">
        <v>40106</v>
      </c>
      <c r="G725" s="11">
        <v>2835.39</v>
      </c>
      <c r="H725" s="11">
        <v>2835.39</v>
      </c>
      <c r="I725" s="4" t="s">
        <v>366</v>
      </c>
      <c r="J725" s="4" t="s">
        <v>367</v>
      </c>
      <c r="K725" s="11">
        <v>0</v>
      </c>
      <c r="L725" s="4"/>
      <c r="M725" s="4"/>
      <c r="N725" s="11">
        <v>0</v>
      </c>
      <c r="O725" s="4"/>
      <c r="P725" s="4"/>
      <c r="Q725" s="11">
        <v>0</v>
      </c>
      <c r="R725" s="4"/>
      <c r="S725" s="12"/>
    </row>
    <row r="726" spans="1:19" x14ac:dyDescent="0.25">
      <c r="A726" s="9" t="s">
        <v>359</v>
      </c>
      <c r="B726" s="9" t="s">
        <v>359</v>
      </c>
      <c r="C726" s="4">
        <v>201000247</v>
      </c>
      <c r="D726" s="4"/>
      <c r="E726" s="4" t="str">
        <f>"004772010"</f>
        <v>004772010</v>
      </c>
      <c r="F726" s="10">
        <v>40106</v>
      </c>
      <c r="G726" s="11">
        <v>3116.95</v>
      </c>
      <c r="H726" s="11">
        <v>3116.95</v>
      </c>
      <c r="I726" s="4" t="s">
        <v>366</v>
      </c>
      <c r="J726" s="4" t="s">
        <v>367</v>
      </c>
      <c r="K726" s="11">
        <v>0</v>
      </c>
      <c r="L726" s="4"/>
      <c r="M726" s="4"/>
      <c r="N726" s="11">
        <v>0</v>
      </c>
      <c r="O726" s="4"/>
      <c r="P726" s="4"/>
      <c r="Q726" s="11">
        <v>0</v>
      </c>
      <c r="R726" s="4"/>
      <c r="S726" s="12"/>
    </row>
    <row r="727" spans="1:19" x14ac:dyDescent="0.25">
      <c r="A727" s="9" t="s">
        <v>359</v>
      </c>
      <c r="B727" s="9" t="s">
        <v>359</v>
      </c>
      <c r="C727" s="4">
        <v>201000255</v>
      </c>
      <c r="D727" s="4"/>
      <c r="E727" s="4" t="str">
        <f>"004792010"</f>
        <v>004792010</v>
      </c>
      <c r="F727" s="10">
        <v>40106</v>
      </c>
      <c r="G727" s="11">
        <v>3404.55</v>
      </c>
      <c r="H727" s="11">
        <v>3404.55</v>
      </c>
      <c r="I727" s="4" t="s">
        <v>366</v>
      </c>
      <c r="J727" s="4" t="s">
        <v>367</v>
      </c>
      <c r="K727" s="11">
        <v>0</v>
      </c>
      <c r="L727" s="4"/>
      <c r="M727" s="4"/>
      <c r="N727" s="11">
        <v>0</v>
      </c>
      <c r="O727" s="4"/>
      <c r="P727" s="4"/>
      <c r="Q727" s="11">
        <v>0</v>
      </c>
      <c r="R727" s="4"/>
      <c r="S727" s="12"/>
    </row>
    <row r="728" spans="1:19" x14ac:dyDescent="0.25">
      <c r="A728" s="9" t="s">
        <v>359</v>
      </c>
      <c r="B728" s="9" t="s">
        <v>359</v>
      </c>
      <c r="C728" s="4">
        <v>201000277</v>
      </c>
      <c r="D728" s="4" t="s">
        <v>1831</v>
      </c>
      <c r="E728" s="4" t="str">
        <f>"006772010"</f>
        <v>006772010</v>
      </c>
      <c r="F728" s="10">
        <v>40115</v>
      </c>
      <c r="G728" s="11">
        <v>50000</v>
      </c>
      <c r="H728" s="11">
        <v>50000</v>
      </c>
      <c r="I728" s="4" t="s">
        <v>687</v>
      </c>
      <c r="J728" s="4" t="s">
        <v>688</v>
      </c>
      <c r="K728" s="11">
        <v>0</v>
      </c>
      <c r="L728" s="4"/>
      <c r="M728" s="4"/>
      <c r="N728" s="11">
        <v>0</v>
      </c>
      <c r="O728" s="4"/>
      <c r="P728" s="4"/>
      <c r="Q728" s="11">
        <v>0</v>
      </c>
      <c r="R728" s="4"/>
      <c r="S728" s="12"/>
    </row>
    <row r="729" spans="1:19" x14ac:dyDescent="0.25">
      <c r="A729" s="9" t="s">
        <v>359</v>
      </c>
      <c r="B729" s="9" t="s">
        <v>359</v>
      </c>
      <c r="C729" s="4">
        <v>201000338</v>
      </c>
      <c r="D729" s="4" t="s">
        <v>1832</v>
      </c>
      <c r="E729" s="4" t="str">
        <f>"006752010"</f>
        <v>006752010</v>
      </c>
      <c r="F729" s="10">
        <v>40115</v>
      </c>
      <c r="G729" s="11">
        <v>26000</v>
      </c>
      <c r="H729" s="11">
        <v>26000</v>
      </c>
      <c r="I729" s="4" t="s">
        <v>366</v>
      </c>
      <c r="J729" s="4" t="s">
        <v>367</v>
      </c>
      <c r="K729" s="11">
        <v>0</v>
      </c>
      <c r="L729" s="4"/>
      <c r="M729" s="4"/>
      <c r="N729" s="11">
        <v>0</v>
      </c>
      <c r="O729" s="4"/>
      <c r="P729" s="4"/>
      <c r="Q729" s="11">
        <v>0</v>
      </c>
      <c r="R729" s="4"/>
      <c r="S729" s="12"/>
    </row>
    <row r="730" spans="1:19" x14ac:dyDescent="0.25">
      <c r="A730" s="9" t="s">
        <v>359</v>
      </c>
      <c r="B730" s="9" t="s">
        <v>359</v>
      </c>
      <c r="C730" s="4">
        <v>201000339</v>
      </c>
      <c r="D730" s="4"/>
      <c r="E730" s="4" t="str">
        <f>"006732010"</f>
        <v>006732010</v>
      </c>
      <c r="F730" s="10">
        <v>40115</v>
      </c>
      <c r="G730" s="11">
        <v>12250</v>
      </c>
      <c r="H730" s="11">
        <v>12250</v>
      </c>
      <c r="I730" s="4" t="s">
        <v>366</v>
      </c>
      <c r="J730" s="4" t="s">
        <v>367</v>
      </c>
      <c r="K730" s="11">
        <v>0</v>
      </c>
      <c r="L730" s="4"/>
      <c r="M730" s="4"/>
      <c r="N730" s="11">
        <v>0</v>
      </c>
      <c r="O730" s="4"/>
      <c r="P730" s="4"/>
      <c r="Q730" s="11">
        <v>0</v>
      </c>
      <c r="R730" s="4"/>
      <c r="S730" s="12"/>
    </row>
    <row r="731" spans="1:19" x14ac:dyDescent="0.25">
      <c r="A731" s="9" t="s">
        <v>359</v>
      </c>
      <c r="B731" s="9" t="s">
        <v>359</v>
      </c>
      <c r="C731" s="4">
        <v>201000340</v>
      </c>
      <c r="D731" s="4"/>
      <c r="E731" s="4" t="str">
        <f>"006552010"</f>
        <v>006552010</v>
      </c>
      <c r="F731" s="10">
        <v>40115</v>
      </c>
      <c r="G731" s="11">
        <v>19000</v>
      </c>
      <c r="H731" s="11">
        <v>19000</v>
      </c>
      <c r="I731" s="4" t="s">
        <v>366</v>
      </c>
      <c r="J731" s="4" t="s">
        <v>367</v>
      </c>
      <c r="K731" s="11">
        <v>0</v>
      </c>
      <c r="L731" s="4"/>
      <c r="M731" s="4"/>
      <c r="N731" s="11">
        <v>0</v>
      </c>
      <c r="O731" s="4"/>
      <c r="P731" s="4"/>
      <c r="Q731" s="11">
        <v>0</v>
      </c>
      <c r="R731" s="4"/>
      <c r="S731" s="12"/>
    </row>
    <row r="732" spans="1:19" x14ac:dyDescent="0.25">
      <c r="A732" s="9" t="s">
        <v>359</v>
      </c>
      <c r="B732" s="9" t="s">
        <v>359</v>
      </c>
      <c r="C732" s="4">
        <v>201000344</v>
      </c>
      <c r="D732" s="4"/>
      <c r="E732" s="4" t="str">
        <f>"006692010"</f>
        <v>006692010</v>
      </c>
      <c r="F732" s="10">
        <v>40115</v>
      </c>
      <c r="G732" s="11">
        <v>5997.23</v>
      </c>
      <c r="H732" s="11">
        <v>5997.23</v>
      </c>
      <c r="I732" s="4" t="s">
        <v>366</v>
      </c>
      <c r="J732" s="4" t="s">
        <v>367</v>
      </c>
      <c r="K732" s="11">
        <v>0</v>
      </c>
      <c r="L732" s="4"/>
      <c r="M732" s="4"/>
      <c r="N732" s="11">
        <v>0</v>
      </c>
      <c r="O732" s="4"/>
      <c r="P732" s="4"/>
      <c r="Q732" s="11">
        <v>0</v>
      </c>
      <c r="R732" s="4"/>
      <c r="S732" s="12"/>
    </row>
    <row r="733" spans="1:19" x14ac:dyDescent="0.25">
      <c r="A733" s="9" t="s">
        <v>359</v>
      </c>
      <c r="B733" s="9" t="s">
        <v>359</v>
      </c>
      <c r="C733" s="4">
        <v>201000346</v>
      </c>
      <c r="D733" s="4"/>
      <c r="E733" s="4" t="str">
        <f>"006612010"</f>
        <v>006612010</v>
      </c>
      <c r="F733" s="10">
        <v>40115</v>
      </c>
      <c r="G733" s="11">
        <v>4918.68</v>
      </c>
      <c r="H733" s="11">
        <v>4918.68</v>
      </c>
      <c r="I733" s="4" t="s">
        <v>366</v>
      </c>
      <c r="J733" s="4" t="s">
        <v>367</v>
      </c>
      <c r="K733" s="11">
        <v>0</v>
      </c>
      <c r="L733" s="4"/>
      <c r="M733" s="4"/>
      <c r="N733" s="11">
        <v>0</v>
      </c>
      <c r="O733" s="4"/>
      <c r="P733" s="4"/>
      <c r="Q733" s="11">
        <v>0</v>
      </c>
      <c r="R733" s="4"/>
      <c r="S733" s="12"/>
    </row>
    <row r="734" spans="1:19" x14ac:dyDescent="0.25">
      <c r="A734" s="9" t="s">
        <v>359</v>
      </c>
      <c r="B734" s="9" t="s">
        <v>359</v>
      </c>
      <c r="C734" s="4">
        <v>201000350</v>
      </c>
      <c r="D734" s="4" t="s">
        <v>1833</v>
      </c>
      <c r="E734" s="4" t="str">
        <f>"006512010"</f>
        <v>006512010</v>
      </c>
      <c r="F734" s="10">
        <v>40115</v>
      </c>
      <c r="G734" s="11">
        <v>12500</v>
      </c>
      <c r="H734" s="11">
        <v>12500</v>
      </c>
      <c r="I734" s="4" t="s">
        <v>366</v>
      </c>
      <c r="J734" s="4" t="s">
        <v>367</v>
      </c>
      <c r="K734" s="11">
        <v>0</v>
      </c>
      <c r="L734" s="4"/>
      <c r="M734" s="4"/>
      <c r="N734" s="11">
        <v>0</v>
      </c>
      <c r="O734" s="4"/>
      <c r="P734" s="4"/>
      <c r="Q734" s="11">
        <v>0</v>
      </c>
      <c r="R734" s="4"/>
      <c r="S734" s="12"/>
    </row>
    <row r="735" spans="1:19" x14ac:dyDescent="0.25">
      <c r="A735" s="9" t="s">
        <v>359</v>
      </c>
      <c r="B735" s="9" t="s">
        <v>359</v>
      </c>
      <c r="C735" s="4">
        <v>201000351</v>
      </c>
      <c r="D735" s="4"/>
      <c r="E735" s="4" t="str">
        <f>"006792010"</f>
        <v>006792010</v>
      </c>
      <c r="F735" s="10">
        <v>40115</v>
      </c>
      <c r="G735" s="11">
        <v>3217</v>
      </c>
      <c r="H735" s="11">
        <v>3217</v>
      </c>
      <c r="I735" s="4" t="s">
        <v>366</v>
      </c>
      <c r="J735" s="4" t="s">
        <v>367</v>
      </c>
      <c r="K735" s="11">
        <v>0</v>
      </c>
      <c r="L735" s="4"/>
      <c r="M735" s="4"/>
      <c r="N735" s="11">
        <v>0</v>
      </c>
      <c r="O735" s="4"/>
      <c r="P735" s="4"/>
      <c r="Q735" s="11">
        <v>0</v>
      </c>
      <c r="R735" s="4"/>
      <c r="S735" s="12"/>
    </row>
    <row r="736" spans="1:19" x14ac:dyDescent="0.25">
      <c r="A736" s="9" t="s">
        <v>359</v>
      </c>
      <c r="B736" s="9" t="s">
        <v>359</v>
      </c>
      <c r="C736" s="4">
        <v>201000369</v>
      </c>
      <c r="D736" s="4"/>
      <c r="E736" s="4" t="str">
        <f>"007812010"</f>
        <v>007812010</v>
      </c>
      <c r="F736" s="10">
        <v>40116</v>
      </c>
      <c r="G736" s="11">
        <v>10250</v>
      </c>
      <c r="H736" s="11">
        <v>10250</v>
      </c>
      <c r="I736" s="4" t="s">
        <v>366</v>
      </c>
      <c r="J736" s="4" t="s">
        <v>367</v>
      </c>
      <c r="K736" s="11">
        <v>0</v>
      </c>
      <c r="L736" s="4"/>
      <c r="M736" s="4"/>
      <c r="N736" s="11">
        <v>0</v>
      </c>
      <c r="O736" s="4"/>
      <c r="P736" s="4"/>
      <c r="Q736" s="11">
        <v>0</v>
      </c>
      <c r="R736" s="4"/>
      <c r="S736" s="12"/>
    </row>
    <row r="737" spans="1:19" x14ac:dyDescent="0.25">
      <c r="A737" s="9" t="s">
        <v>359</v>
      </c>
      <c r="B737" s="9" t="s">
        <v>359</v>
      </c>
      <c r="C737" s="4">
        <v>201000382</v>
      </c>
      <c r="D737" s="4"/>
      <c r="E737" s="4" t="str">
        <f>"007692010"</f>
        <v>007692010</v>
      </c>
      <c r="F737" s="10">
        <v>40119</v>
      </c>
      <c r="G737" s="11">
        <v>6484.11</v>
      </c>
      <c r="H737" s="11">
        <v>6484.11</v>
      </c>
      <c r="I737" s="4" t="s">
        <v>366</v>
      </c>
      <c r="J737" s="4" t="s">
        <v>367</v>
      </c>
      <c r="K737" s="11">
        <v>0</v>
      </c>
      <c r="L737" s="4"/>
      <c r="M737" s="4"/>
      <c r="N737" s="11">
        <v>0</v>
      </c>
      <c r="O737" s="4"/>
      <c r="P737" s="4"/>
      <c r="Q737" s="11">
        <v>0</v>
      </c>
      <c r="R737" s="4"/>
      <c r="S737" s="12"/>
    </row>
    <row r="738" spans="1:19" x14ac:dyDescent="0.25">
      <c r="A738" s="9" t="s">
        <v>359</v>
      </c>
      <c r="B738" s="9" t="s">
        <v>359</v>
      </c>
      <c r="C738" s="4">
        <v>201000445</v>
      </c>
      <c r="D738" s="4"/>
      <c r="E738" s="4" t="str">
        <f>"008872010"</f>
        <v>008872010</v>
      </c>
      <c r="F738" s="10">
        <v>40121</v>
      </c>
      <c r="G738" s="11">
        <v>2686.66</v>
      </c>
      <c r="H738" s="11">
        <v>2686.66</v>
      </c>
      <c r="I738" s="4" t="s">
        <v>366</v>
      </c>
      <c r="J738" s="4" t="s">
        <v>367</v>
      </c>
      <c r="K738" s="11">
        <v>0</v>
      </c>
      <c r="L738" s="4"/>
      <c r="M738" s="4"/>
      <c r="N738" s="11">
        <v>0</v>
      </c>
      <c r="O738" s="4"/>
      <c r="P738" s="4"/>
      <c r="Q738" s="11">
        <v>0</v>
      </c>
      <c r="R738" s="4"/>
      <c r="S738" s="12"/>
    </row>
    <row r="739" spans="1:19" x14ac:dyDescent="0.25">
      <c r="A739" s="9" t="s">
        <v>359</v>
      </c>
      <c r="B739" s="9" t="s">
        <v>359</v>
      </c>
      <c r="C739" s="4">
        <v>201000446</v>
      </c>
      <c r="D739" s="4" t="s">
        <v>1834</v>
      </c>
      <c r="E739" s="4" t="str">
        <f>"008852010"</f>
        <v>008852010</v>
      </c>
      <c r="F739" s="10">
        <v>40121</v>
      </c>
      <c r="G739" s="11">
        <v>295000</v>
      </c>
      <c r="H739" s="11">
        <v>295000</v>
      </c>
      <c r="I739" s="4" t="s">
        <v>931</v>
      </c>
      <c r="J739" s="4" t="s">
        <v>932</v>
      </c>
      <c r="K739" s="11">
        <v>0</v>
      </c>
      <c r="L739" s="4"/>
      <c r="M739" s="4"/>
      <c r="N739" s="11">
        <v>0</v>
      </c>
      <c r="O739" s="4"/>
      <c r="P739" s="4"/>
      <c r="Q739" s="11">
        <v>0</v>
      </c>
      <c r="R739" s="4"/>
      <c r="S739" s="12"/>
    </row>
    <row r="740" spans="1:19" x14ac:dyDescent="0.25">
      <c r="A740" s="9" t="s">
        <v>359</v>
      </c>
      <c r="B740" s="9" t="s">
        <v>359</v>
      </c>
      <c r="C740" s="4">
        <v>201000452</v>
      </c>
      <c r="D740" s="4"/>
      <c r="E740" s="4" t="str">
        <f>"008832010"</f>
        <v>008832010</v>
      </c>
      <c r="F740" s="10">
        <v>40121</v>
      </c>
      <c r="G740" s="11">
        <v>4124.03</v>
      </c>
      <c r="H740" s="11">
        <v>4124.03</v>
      </c>
      <c r="I740" s="4" t="s">
        <v>366</v>
      </c>
      <c r="J740" s="4" t="s">
        <v>367</v>
      </c>
      <c r="K740" s="11">
        <v>0</v>
      </c>
      <c r="L740" s="4"/>
      <c r="M740" s="4"/>
      <c r="N740" s="11">
        <v>0</v>
      </c>
      <c r="O740" s="4"/>
      <c r="P740" s="4"/>
      <c r="Q740" s="11">
        <v>0</v>
      </c>
      <c r="R740" s="4"/>
      <c r="S740" s="12"/>
    </row>
    <row r="741" spans="1:19" x14ac:dyDescent="0.25">
      <c r="A741" s="9" t="s">
        <v>359</v>
      </c>
      <c r="B741" s="9" t="s">
        <v>359</v>
      </c>
      <c r="C741" s="4">
        <v>201000471</v>
      </c>
      <c r="D741" s="4"/>
      <c r="E741" s="4" t="str">
        <f>"009032010"</f>
        <v>009032010</v>
      </c>
      <c r="F741" s="10">
        <v>40122</v>
      </c>
      <c r="G741" s="11">
        <v>2931.13</v>
      </c>
      <c r="H741" s="11">
        <v>2931.13</v>
      </c>
      <c r="I741" s="4" t="s">
        <v>366</v>
      </c>
      <c r="J741" s="4" t="s">
        <v>367</v>
      </c>
      <c r="K741" s="11">
        <v>0</v>
      </c>
      <c r="L741" s="4"/>
      <c r="M741" s="4"/>
      <c r="N741" s="11">
        <v>0</v>
      </c>
      <c r="O741" s="4"/>
      <c r="P741" s="4"/>
      <c r="Q741" s="11">
        <v>0</v>
      </c>
      <c r="R741" s="4"/>
      <c r="S741" s="12"/>
    </row>
    <row r="742" spans="1:19" x14ac:dyDescent="0.25">
      <c r="A742" s="9" t="s">
        <v>359</v>
      </c>
      <c r="B742" s="9" t="s">
        <v>359</v>
      </c>
      <c r="C742" s="4">
        <v>201000473</v>
      </c>
      <c r="D742" s="4"/>
      <c r="E742" s="4" t="str">
        <f>"008612010"</f>
        <v>008612010</v>
      </c>
      <c r="F742" s="10">
        <v>40120</v>
      </c>
      <c r="G742" s="11">
        <v>4499.96</v>
      </c>
      <c r="H742" s="11">
        <v>4499.96</v>
      </c>
      <c r="I742" s="4" t="s">
        <v>366</v>
      </c>
      <c r="J742" s="4" t="s">
        <v>367</v>
      </c>
      <c r="K742" s="11">
        <v>0</v>
      </c>
      <c r="L742" s="4"/>
      <c r="M742" s="4"/>
      <c r="N742" s="11">
        <v>0</v>
      </c>
      <c r="O742" s="4"/>
      <c r="P742" s="4"/>
      <c r="Q742" s="11">
        <v>0</v>
      </c>
      <c r="R742" s="4"/>
      <c r="S742" s="12"/>
    </row>
    <row r="743" spans="1:19" x14ac:dyDescent="0.25">
      <c r="A743" s="9" t="s">
        <v>359</v>
      </c>
      <c r="B743" s="9" t="s">
        <v>359</v>
      </c>
      <c r="C743" s="4">
        <v>201000489</v>
      </c>
      <c r="D743" s="4"/>
      <c r="E743" s="4" t="str">
        <f>"011812010"</f>
        <v>011812010</v>
      </c>
      <c r="F743" s="10">
        <v>40133</v>
      </c>
      <c r="G743" s="11">
        <v>5800.55</v>
      </c>
      <c r="H743" s="11">
        <v>5800.55</v>
      </c>
      <c r="I743" s="4" t="s">
        <v>366</v>
      </c>
      <c r="J743" s="4" t="s">
        <v>367</v>
      </c>
      <c r="K743" s="11">
        <v>0</v>
      </c>
      <c r="L743" s="4"/>
      <c r="M743" s="4"/>
      <c r="N743" s="11">
        <v>0</v>
      </c>
      <c r="O743" s="4"/>
      <c r="P743" s="4"/>
      <c r="Q743" s="11">
        <v>0</v>
      </c>
      <c r="R743" s="4"/>
      <c r="S743" s="12"/>
    </row>
    <row r="744" spans="1:19" x14ac:dyDescent="0.25">
      <c r="A744" s="9" t="s">
        <v>359</v>
      </c>
      <c r="B744" s="9" t="s">
        <v>359</v>
      </c>
      <c r="C744" s="4">
        <v>201000542</v>
      </c>
      <c r="D744" s="4" t="s">
        <v>1835</v>
      </c>
      <c r="E744" s="4" t="str">
        <f>"010432010"</f>
        <v>010432010</v>
      </c>
      <c r="F744" s="10">
        <v>40126</v>
      </c>
      <c r="G744" s="11">
        <v>3350.01</v>
      </c>
      <c r="H744" s="11">
        <v>3350.01</v>
      </c>
      <c r="I744" s="4" t="s">
        <v>366</v>
      </c>
      <c r="J744" s="4" t="s">
        <v>367</v>
      </c>
      <c r="K744" s="11">
        <v>0</v>
      </c>
      <c r="L744" s="4"/>
      <c r="M744" s="4"/>
      <c r="N744" s="11">
        <v>0</v>
      </c>
      <c r="O744" s="4"/>
      <c r="P744" s="4"/>
      <c r="Q744" s="11">
        <v>0</v>
      </c>
      <c r="R744" s="4"/>
      <c r="S744" s="12"/>
    </row>
    <row r="745" spans="1:19" x14ac:dyDescent="0.25">
      <c r="A745" s="9" t="s">
        <v>359</v>
      </c>
      <c r="B745" s="9" t="s">
        <v>359</v>
      </c>
      <c r="C745" s="4">
        <v>201000546</v>
      </c>
      <c r="D745" s="4" t="s">
        <v>1836</v>
      </c>
      <c r="E745" s="4" t="str">
        <f>"010452010"</f>
        <v>010452010</v>
      </c>
      <c r="F745" s="10">
        <v>40126</v>
      </c>
      <c r="G745" s="11">
        <v>20000</v>
      </c>
      <c r="H745" s="11">
        <v>20000</v>
      </c>
      <c r="I745" s="4" t="s">
        <v>366</v>
      </c>
      <c r="J745" s="4" t="s">
        <v>367</v>
      </c>
      <c r="K745" s="11">
        <v>0</v>
      </c>
      <c r="L745" s="4"/>
      <c r="M745" s="4"/>
      <c r="N745" s="11">
        <v>0</v>
      </c>
      <c r="O745" s="4"/>
      <c r="P745" s="4"/>
      <c r="Q745" s="11">
        <v>0</v>
      </c>
      <c r="R745" s="4"/>
      <c r="S745" s="12"/>
    </row>
    <row r="746" spans="1:19" x14ac:dyDescent="0.25">
      <c r="A746" s="9" t="s">
        <v>359</v>
      </c>
      <c r="B746" s="9" t="s">
        <v>359</v>
      </c>
      <c r="C746" s="4">
        <v>201000574</v>
      </c>
      <c r="D746" s="4" t="s">
        <v>1837</v>
      </c>
      <c r="E746" s="4" t="str">
        <f>"011072010"</f>
        <v>011072010</v>
      </c>
      <c r="F746" s="10">
        <v>40129</v>
      </c>
      <c r="G746" s="11">
        <v>50000</v>
      </c>
      <c r="H746" s="11">
        <v>50000</v>
      </c>
      <c r="I746" s="4" t="s">
        <v>366</v>
      </c>
      <c r="J746" s="4" t="s">
        <v>367</v>
      </c>
      <c r="K746" s="11">
        <v>0</v>
      </c>
      <c r="L746" s="4"/>
      <c r="M746" s="4"/>
      <c r="N746" s="11">
        <v>0</v>
      </c>
      <c r="O746" s="4"/>
      <c r="P746" s="4"/>
      <c r="Q746" s="11">
        <v>0</v>
      </c>
      <c r="R746" s="4"/>
      <c r="S746" s="12"/>
    </row>
    <row r="747" spans="1:19" x14ac:dyDescent="0.25">
      <c r="A747" s="9" t="s">
        <v>359</v>
      </c>
      <c r="B747" s="9" t="s">
        <v>359</v>
      </c>
      <c r="C747" s="4">
        <v>201000602</v>
      </c>
      <c r="D747" s="4"/>
      <c r="E747" s="4" t="str">
        <f>"014002010"</f>
        <v>014002010</v>
      </c>
      <c r="F747" s="10">
        <v>40141</v>
      </c>
      <c r="G747" s="11">
        <v>5676.5</v>
      </c>
      <c r="H747" s="11">
        <v>5676.5</v>
      </c>
      <c r="I747" s="4" t="s">
        <v>366</v>
      </c>
      <c r="J747" s="4" t="s">
        <v>367</v>
      </c>
      <c r="K747" s="11">
        <v>0</v>
      </c>
      <c r="L747" s="4"/>
      <c r="M747" s="4"/>
      <c r="N747" s="11">
        <v>0</v>
      </c>
      <c r="O747" s="4"/>
      <c r="P747" s="4"/>
      <c r="Q747" s="11">
        <v>0</v>
      </c>
      <c r="R747" s="4"/>
      <c r="S747" s="12"/>
    </row>
    <row r="748" spans="1:19" x14ac:dyDescent="0.25">
      <c r="A748" s="9" t="s">
        <v>359</v>
      </c>
      <c r="B748" s="9" t="s">
        <v>359</v>
      </c>
      <c r="C748" s="4">
        <v>201000632</v>
      </c>
      <c r="D748" s="4"/>
      <c r="E748" s="4" t="str">
        <f>"012572010"</f>
        <v>012572010</v>
      </c>
      <c r="F748" s="10">
        <v>40134</v>
      </c>
      <c r="G748" s="11">
        <v>2822.54</v>
      </c>
      <c r="H748" s="11">
        <v>2822.54</v>
      </c>
      <c r="I748" s="4" t="s">
        <v>366</v>
      </c>
      <c r="J748" s="4" t="s">
        <v>367</v>
      </c>
      <c r="K748" s="11">
        <v>0</v>
      </c>
      <c r="L748" s="4"/>
      <c r="M748" s="4"/>
      <c r="N748" s="11">
        <v>0</v>
      </c>
      <c r="O748" s="4"/>
      <c r="P748" s="4"/>
      <c r="Q748" s="11">
        <v>0</v>
      </c>
      <c r="R748" s="4"/>
      <c r="S748" s="12"/>
    </row>
    <row r="749" spans="1:19" x14ac:dyDescent="0.25">
      <c r="A749" s="9" t="s">
        <v>359</v>
      </c>
      <c r="B749" s="9" t="s">
        <v>359</v>
      </c>
      <c r="C749" s="4">
        <v>201000679</v>
      </c>
      <c r="D749" s="4"/>
      <c r="E749" s="4" t="str">
        <f>"013762010"</f>
        <v>013762010</v>
      </c>
      <c r="F749" s="10">
        <v>40141</v>
      </c>
      <c r="G749" s="11">
        <v>4999.37</v>
      </c>
      <c r="H749" s="11">
        <v>4999.37</v>
      </c>
      <c r="I749" s="4" t="s">
        <v>366</v>
      </c>
      <c r="J749" s="4" t="s">
        <v>367</v>
      </c>
      <c r="K749" s="11">
        <v>0</v>
      </c>
      <c r="L749" s="4"/>
      <c r="M749" s="4"/>
      <c r="N749" s="11">
        <v>0</v>
      </c>
      <c r="O749" s="4"/>
      <c r="P749" s="4"/>
      <c r="Q749" s="11">
        <v>0</v>
      </c>
      <c r="R749" s="4"/>
      <c r="S749" s="12"/>
    </row>
    <row r="750" spans="1:19" x14ac:dyDescent="0.25">
      <c r="A750" s="9" t="s">
        <v>359</v>
      </c>
      <c r="B750" s="9" t="s">
        <v>359</v>
      </c>
      <c r="C750" s="4">
        <v>201000683</v>
      </c>
      <c r="D750" s="4"/>
      <c r="E750" s="4" t="str">
        <f>"014142010"</f>
        <v>014142010</v>
      </c>
      <c r="F750" s="10">
        <v>40141</v>
      </c>
      <c r="G750" s="11">
        <v>2500.67</v>
      </c>
      <c r="H750" s="11">
        <v>2500.67</v>
      </c>
      <c r="I750" s="4" t="s">
        <v>366</v>
      </c>
      <c r="J750" s="4" t="s">
        <v>367</v>
      </c>
      <c r="K750" s="11">
        <v>0</v>
      </c>
      <c r="L750" s="4"/>
      <c r="M750" s="4"/>
      <c r="N750" s="11">
        <v>0</v>
      </c>
      <c r="O750" s="4"/>
      <c r="P750" s="4"/>
      <c r="Q750" s="11">
        <v>0</v>
      </c>
      <c r="R750" s="4"/>
      <c r="S750" s="12"/>
    </row>
    <row r="751" spans="1:19" x14ac:dyDescent="0.25">
      <c r="A751" s="9" t="s">
        <v>359</v>
      </c>
      <c r="B751" s="9" t="s">
        <v>359</v>
      </c>
      <c r="C751" s="4">
        <v>201000685</v>
      </c>
      <c r="D751" s="4"/>
      <c r="E751" s="4" t="str">
        <f>"013942010"</f>
        <v>013942010</v>
      </c>
      <c r="F751" s="10">
        <v>40141</v>
      </c>
      <c r="G751" s="11">
        <v>4477.0600000000004</v>
      </c>
      <c r="H751" s="11">
        <v>4477.0600000000004</v>
      </c>
      <c r="I751" s="4" t="s">
        <v>366</v>
      </c>
      <c r="J751" s="4" t="s">
        <v>367</v>
      </c>
      <c r="K751" s="11">
        <v>0</v>
      </c>
      <c r="L751" s="4"/>
      <c r="M751" s="4"/>
      <c r="N751" s="11">
        <v>0</v>
      </c>
      <c r="O751" s="4"/>
      <c r="P751" s="4"/>
      <c r="Q751" s="11">
        <v>0</v>
      </c>
      <c r="R751" s="4"/>
      <c r="S751" s="12"/>
    </row>
    <row r="752" spans="1:19" x14ac:dyDescent="0.25">
      <c r="A752" s="9" t="s">
        <v>359</v>
      </c>
      <c r="B752" s="9" t="s">
        <v>359</v>
      </c>
      <c r="C752" s="4">
        <v>201000695</v>
      </c>
      <c r="D752" s="4"/>
      <c r="E752" s="4" t="str">
        <f>"014102010"</f>
        <v>014102010</v>
      </c>
      <c r="F752" s="10">
        <v>40141</v>
      </c>
      <c r="G752" s="11">
        <v>4569.47</v>
      </c>
      <c r="H752" s="11">
        <v>4569.47</v>
      </c>
      <c r="I752" s="4" t="s">
        <v>366</v>
      </c>
      <c r="J752" s="4" t="s">
        <v>367</v>
      </c>
      <c r="K752" s="11">
        <v>0</v>
      </c>
      <c r="L752" s="4"/>
      <c r="M752" s="4"/>
      <c r="N752" s="11">
        <v>0</v>
      </c>
      <c r="O752" s="4"/>
      <c r="P752" s="4"/>
      <c r="Q752" s="11">
        <v>0</v>
      </c>
      <c r="R752" s="4"/>
      <c r="S752" s="12"/>
    </row>
    <row r="753" spans="1:19" x14ac:dyDescent="0.25">
      <c r="A753" s="9" t="s">
        <v>359</v>
      </c>
      <c r="B753" s="9" t="s">
        <v>359</v>
      </c>
      <c r="C753" s="4">
        <v>201000696</v>
      </c>
      <c r="D753" s="4"/>
      <c r="E753" s="4" t="str">
        <f>"013782010"</f>
        <v>013782010</v>
      </c>
      <c r="F753" s="10">
        <v>40141</v>
      </c>
      <c r="G753" s="11">
        <v>4874.1400000000003</v>
      </c>
      <c r="H753" s="11">
        <v>4874.1400000000003</v>
      </c>
      <c r="I753" s="4" t="s">
        <v>366</v>
      </c>
      <c r="J753" s="4" t="s">
        <v>367</v>
      </c>
      <c r="K753" s="11">
        <v>0</v>
      </c>
      <c r="L753" s="4"/>
      <c r="M753" s="4"/>
      <c r="N753" s="11">
        <v>0</v>
      </c>
      <c r="O753" s="4"/>
      <c r="P753" s="4"/>
      <c r="Q753" s="11">
        <v>0</v>
      </c>
      <c r="R753" s="4"/>
      <c r="S753" s="12"/>
    </row>
    <row r="754" spans="1:19" x14ac:dyDescent="0.25">
      <c r="A754" s="9" t="s">
        <v>359</v>
      </c>
      <c r="B754" s="9" t="s">
        <v>359</v>
      </c>
      <c r="C754" s="4">
        <v>201000698</v>
      </c>
      <c r="D754" s="4"/>
      <c r="E754" s="4" t="str">
        <f>"013542010"</f>
        <v>013542010</v>
      </c>
      <c r="F754" s="10">
        <v>40137</v>
      </c>
      <c r="G754" s="11">
        <v>10533.68</v>
      </c>
      <c r="H754" s="11">
        <v>10533.68</v>
      </c>
      <c r="I754" s="4" t="s">
        <v>366</v>
      </c>
      <c r="J754" s="4" t="s">
        <v>367</v>
      </c>
      <c r="K754" s="11">
        <v>0</v>
      </c>
      <c r="L754" s="4"/>
      <c r="M754" s="4"/>
      <c r="N754" s="11">
        <v>0</v>
      </c>
      <c r="O754" s="4"/>
      <c r="P754" s="4"/>
      <c r="Q754" s="11">
        <v>0</v>
      </c>
      <c r="R754" s="4"/>
      <c r="S754" s="12"/>
    </row>
    <row r="755" spans="1:19" x14ac:dyDescent="0.25">
      <c r="A755" s="9" t="s">
        <v>359</v>
      </c>
      <c r="B755" s="9" t="s">
        <v>359</v>
      </c>
      <c r="C755" s="4">
        <v>201000699</v>
      </c>
      <c r="D755" s="4" t="s">
        <v>1838</v>
      </c>
      <c r="E755" s="4" t="str">
        <f>"013862010"</f>
        <v>013862010</v>
      </c>
      <c r="F755" s="10">
        <v>40141</v>
      </c>
      <c r="G755" s="11">
        <v>31000</v>
      </c>
      <c r="H755" s="11">
        <v>31000</v>
      </c>
      <c r="I755" s="4" t="s">
        <v>366</v>
      </c>
      <c r="J755" s="4" t="s">
        <v>367</v>
      </c>
      <c r="K755" s="11">
        <v>0</v>
      </c>
      <c r="L755" s="4"/>
      <c r="M755" s="4"/>
      <c r="N755" s="11">
        <v>0</v>
      </c>
      <c r="O755" s="4"/>
      <c r="P755" s="4"/>
      <c r="Q755" s="11">
        <v>0</v>
      </c>
      <c r="R755" s="4"/>
      <c r="S755" s="12"/>
    </row>
    <row r="756" spans="1:19" x14ac:dyDescent="0.25">
      <c r="A756" s="9" t="s">
        <v>359</v>
      </c>
      <c r="B756" s="9" t="s">
        <v>359</v>
      </c>
      <c r="C756" s="4">
        <v>201000703</v>
      </c>
      <c r="D756" s="4" t="s">
        <v>1838</v>
      </c>
      <c r="E756" s="4" t="str">
        <f>"013882010"</f>
        <v>013882010</v>
      </c>
      <c r="F756" s="10">
        <v>40141</v>
      </c>
      <c r="G756" s="11">
        <v>9400</v>
      </c>
      <c r="H756" s="11">
        <v>9400</v>
      </c>
      <c r="I756" s="4" t="s">
        <v>366</v>
      </c>
      <c r="J756" s="4" t="s">
        <v>367</v>
      </c>
      <c r="K756" s="11">
        <v>0</v>
      </c>
      <c r="L756" s="4"/>
      <c r="M756" s="4"/>
      <c r="N756" s="11">
        <v>0</v>
      </c>
      <c r="O756" s="4"/>
      <c r="P756" s="4"/>
      <c r="Q756" s="11">
        <v>0</v>
      </c>
      <c r="R756" s="4"/>
      <c r="S756" s="12"/>
    </row>
    <row r="757" spans="1:19" x14ac:dyDescent="0.25">
      <c r="A757" s="9" t="s">
        <v>359</v>
      </c>
      <c r="B757" s="9" t="s">
        <v>359</v>
      </c>
      <c r="C757" s="4">
        <v>201000704</v>
      </c>
      <c r="D757" s="4" t="s">
        <v>1838</v>
      </c>
      <c r="E757" s="4" t="str">
        <f>"013902010"</f>
        <v>013902010</v>
      </c>
      <c r="F757" s="10">
        <v>40141</v>
      </c>
      <c r="G757" s="11">
        <v>9400</v>
      </c>
      <c r="H757" s="11">
        <v>9400</v>
      </c>
      <c r="I757" s="4" t="s">
        <v>366</v>
      </c>
      <c r="J757" s="4" t="s">
        <v>367</v>
      </c>
      <c r="K757" s="11">
        <v>0</v>
      </c>
      <c r="L757" s="4"/>
      <c r="M757" s="4"/>
      <c r="N757" s="11">
        <v>0</v>
      </c>
      <c r="O757" s="4"/>
      <c r="P757" s="4"/>
      <c r="Q757" s="11">
        <v>0</v>
      </c>
      <c r="R757" s="4"/>
      <c r="S757" s="12"/>
    </row>
    <row r="758" spans="1:19" x14ac:dyDescent="0.25">
      <c r="A758" s="9" t="s">
        <v>359</v>
      </c>
      <c r="B758" s="9" t="s">
        <v>359</v>
      </c>
      <c r="C758" s="4">
        <v>201000725</v>
      </c>
      <c r="D758" s="4"/>
      <c r="E758" s="4" t="str">
        <f>"015282010"</f>
        <v>015282010</v>
      </c>
      <c r="F758" s="10">
        <v>40142</v>
      </c>
      <c r="G758" s="11">
        <v>2533.5300000000002</v>
      </c>
      <c r="H758" s="11">
        <v>2533.5300000000002</v>
      </c>
      <c r="I758" s="4" t="s">
        <v>366</v>
      </c>
      <c r="J758" s="4" t="s">
        <v>367</v>
      </c>
      <c r="K758" s="11">
        <v>0</v>
      </c>
      <c r="L758" s="4"/>
      <c r="M758" s="4"/>
      <c r="N758" s="11">
        <v>0</v>
      </c>
      <c r="O758" s="4"/>
      <c r="P758" s="4"/>
      <c r="Q758" s="11">
        <v>0</v>
      </c>
      <c r="R758" s="4"/>
      <c r="S758" s="12"/>
    </row>
    <row r="759" spans="1:19" x14ac:dyDescent="0.25">
      <c r="A759" s="9" t="s">
        <v>359</v>
      </c>
      <c r="B759" s="9" t="s">
        <v>359</v>
      </c>
      <c r="C759" s="4">
        <v>201000736</v>
      </c>
      <c r="D759" s="4"/>
      <c r="E759" s="4" t="str">
        <f>"014922010"</f>
        <v>014922010</v>
      </c>
      <c r="F759" s="10">
        <v>40142</v>
      </c>
      <c r="G759" s="11">
        <v>9624.23</v>
      </c>
      <c r="H759" s="11">
        <v>9624.23</v>
      </c>
      <c r="I759" s="4" t="s">
        <v>366</v>
      </c>
      <c r="J759" s="4" t="s">
        <v>367</v>
      </c>
      <c r="K759" s="11">
        <v>0</v>
      </c>
      <c r="L759" s="4"/>
      <c r="M759" s="4"/>
      <c r="N759" s="11">
        <v>0</v>
      </c>
      <c r="O759" s="4"/>
      <c r="P759" s="4"/>
      <c r="Q759" s="11">
        <v>0</v>
      </c>
      <c r="R759" s="4"/>
      <c r="S759" s="12"/>
    </row>
    <row r="760" spans="1:19" x14ac:dyDescent="0.25">
      <c r="A760" s="9" t="s">
        <v>359</v>
      </c>
      <c r="B760" s="9" t="s">
        <v>359</v>
      </c>
      <c r="C760" s="4">
        <v>201000739</v>
      </c>
      <c r="D760" s="4"/>
      <c r="E760" s="4" t="str">
        <f>"014882010"</f>
        <v>014882010</v>
      </c>
      <c r="F760" s="10">
        <v>40142</v>
      </c>
      <c r="G760" s="11">
        <v>12266.03</v>
      </c>
      <c r="H760" s="11">
        <v>12266.03</v>
      </c>
      <c r="I760" s="4" t="s">
        <v>366</v>
      </c>
      <c r="J760" s="4" t="s">
        <v>367</v>
      </c>
      <c r="K760" s="11">
        <v>0</v>
      </c>
      <c r="L760" s="4"/>
      <c r="M760" s="4"/>
      <c r="N760" s="11">
        <v>0</v>
      </c>
      <c r="O760" s="4"/>
      <c r="P760" s="4"/>
      <c r="Q760" s="11">
        <v>0</v>
      </c>
      <c r="R760" s="4"/>
      <c r="S760" s="12"/>
    </row>
    <row r="761" spans="1:19" x14ac:dyDescent="0.25">
      <c r="A761" s="9" t="s">
        <v>359</v>
      </c>
      <c r="B761" s="9" t="s">
        <v>359</v>
      </c>
      <c r="C761" s="4">
        <v>201000759</v>
      </c>
      <c r="D761" s="4" t="s">
        <v>1839</v>
      </c>
      <c r="E761" s="4" t="str">
        <f>"015342010"</f>
        <v>015342010</v>
      </c>
      <c r="F761" s="10">
        <v>40142</v>
      </c>
      <c r="G761" s="11">
        <v>15000</v>
      </c>
      <c r="H761" s="11">
        <v>15000</v>
      </c>
      <c r="I761" s="4" t="s">
        <v>366</v>
      </c>
      <c r="J761" s="4" t="s">
        <v>367</v>
      </c>
      <c r="K761" s="11">
        <v>0</v>
      </c>
      <c r="L761" s="4"/>
      <c r="M761" s="4"/>
      <c r="N761" s="11">
        <v>0</v>
      </c>
      <c r="O761" s="4"/>
      <c r="P761" s="4"/>
      <c r="Q761" s="11">
        <v>0</v>
      </c>
      <c r="R761" s="4"/>
      <c r="S761" s="12"/>
    </row>
    <row r="762" spans="1:19" x14ac:dyDescent="0.25">
      <c r="A762" s="9" t="s">
        <v>359</v>
      </c>
      <c r="B762" s="9" t="s">
        <v>359</v>
      </c>
      <c r="C762" s="4">
        <v>201000774</v>
      </c>
      <c r="D762" s="4"/>
      <c r="E762" s="4" t="str">
        <f>"015322010"</f>
        <v>015322010</v>
      </c>
      <c r="F762" s="10">
        <v>40142</v>
      </c>
      <c r="G762" s="11">
        <v>6861.21</v>
      </c>
      <c r="H762" s="11">
        <v>6861.21</v>
      </c>
      <c r="I762" s="4" t="s">
        <v>366</v>
      </c>
      <c r="J762" s="4" t="s">
        <v>367</v>
      </c>
      <c r="K762" s="11">
        <v>0</v>
      </c>
      <c r="L762" s="4"/>
      <c r="M762" s="4"/>
      <c r="N762" s="11">
        <v>0</v>
      </c>
      <c r="O762" s="4"/>
      <c r="P762" s="4"/>
      <c r="Q762" s="11">
        <v>0</v>
      </c>
      <c r="R762" s="4"/>
      <c r="S762" s="12"/>
    </row>
    <row r="763" spans="1:19" x14ac:dyDescent="0.25">
      <c r="A763" s="9" t="s">
        <v>359</v>
      </c>
      <c r="B763" s="9" t="s">
        <v>359</v>
      </c>
      <c r="C763" s="4">
        <v>201000809</v>
      </c>
      <c r="D763" s="4"/>
      <c r="E763" s="4" t="str">
        <f>"016472010"</f>
        <v>016472010</v>
      </c>
      <c r="F763" s="10">
        <v>40150</v>
      </c>
      <c r="G763" s="11">
        <v>9182.3799999999992</v>
      </c>
      <c r="H763" s="11">
        <v>9182.3799999999992</v>
      </c>
      <c r="I763" s="4" t="s">
        <v>366</v>
      </c>
      <c r="J763" s="4" t="s">
        <v>367</v>
      </c>
      <c r="K763" s="11">
        <v>0</v>
      </c>
      <c r="L763" s="4"/>
      <c r="M763" s="4"/>
      <c r="N763" s="11">
        <v>0</v>
      </c>
      <c r="O763" s="4"/>
      <c r="P763" s="4"/>
      <c r="Q763" s="11">
        <v>0</v>
      </c>
      <c r="R763" s="4"/>
      <c r="S763" s="12"/>
    </row>
    <row r="764" spans="1:19" x14ac:dyDescent="0.25">
      <c r="A764" s="9" t="s">
        <v>359</v>
      </c>
      <c r="B764" s="9" t="s">
        <v>359</v>
      </c>
      <c r="C764" s="4">
        <v>201000848</v>
      </c>
      <c r="D764" s="4"/>
      <c r="E764" s="4" t="str">
        <f>"019212010"</f>
        <v>019212010</v>
      </c>
      <c r="F764" s="10">
        <v>40156</v>
      </c>
      <c r="G764" s="11">
        <v>203900</v>
      </c>
      <c r="H764" s="11">
        <v>203900</v>
      </c>
      <c r="I764" s="4" t="s">
        <v>1823</v>
      </c>
      <c r="J764" s="4" t="s">
        <v>1824</v>
      </c>
      <c r="K764" s="11">
        <v>0</v>
      </c>
      <c r="L764" s="4"/>
      <c r="M764" s="4"/>
      <c r="N764" s="11">
        <v>0</v>
      </c>
      <c r="O764" s="4"/>
      <c r="P764" s="4"/>
      <c r="Q764" s="11">
        <v>0</v>
      </c>
      <c r="R764" s="4"/>
      <c r="S764" s="12"/>
    </row>
    <row r="765" spans="1:19" x14ac:dyDescent="0.25">
      <c r="A765" s="9" t="s">
        <v>359</v>
      </c>
      <c r="B765" s="9" t="s">
        <v>359</v>
      </c>
      <c r="C765" s="4">
        <v>201000849</v>
      </c>
      <c r="D765" s="4" t="s">
        <v>1840</v>
      </c>
      <c r="E765" s="4" t="str">
        <f>"028682010"</f>
        <v>028682010</v>
      </c>
      <c r="F765" s="10">
        <v>40186</v>
      </c>
      <c r="G765" s="11">
        <v>355060.13</v>
      </c>
      <c r="H765" s="11">
        <v>355060.13</v>
      </c>
      <c r="I765" s="4" t="s">
        <v>1823</v>
      </c>
      <c r="J765" s="4" t="s">
        <v>1824</v>
      </c>
      <c r="K765" s="11">
        <v>0</v>
      </c>
      <c r="L765" s="4"/>
      <c r="M765" s="4"/>
      <c r="N765" s="11">
        <v>0</v>
      </c>
      <c r="O765" s="4"/>
      <c r="P765" s="4"/>
      <c r="Q765" s="11">
        <v>0</v>
      </c>
      <c r="R765" s="4"/>
      <c r="S765" s="12"/>
    </row>
    <row r="766" spans="1:19" x14ac:dyDescent="0.25">
      <c r="A766" s="9" t="s">
        <v>359</v>
      </c>
      <c r="B766" s="9" t="s">
        <v>359</v>
      </c>
      <c r="C766" s="4">
        <v>201000850</v>
      </c>
      <c r="D766" s="4"/>
      <c r="E766" s="4" t="str">
        <f>"017722010"</f>
        <v>017722010</v>
      </c>
      <c r="F766" s="10">
        <v>40150</v>
      </c>
      <c r="G766" s="11">
        <v>9990</v>
      </c>
      <c r="H766" s="11">
        <v>9990</v>
      </c>
      <c r="I766" s="4" t="s">
        <v>1823</v>
      </c>
      <c r="J766" s="4" t="s">
        <v>1824</v>
      </c>
      <c r="K766" s="11">
        <v>0</v>
      </c>
      <c r="L766" s="4"/>
      <c r="M766" s="4"/>
      <c r="N766" s="11">
        <v>0</v>
      </c>
      <c r="O766" s="4"/>
      <c r="P766" s="4"/>
      <c r="Q766" s="11">
        <v>0</v>
      </c>
      <c r="R766" s="4"/>
      <c r="S766" s="12"/>
    </row>
    <row r="767" spans="1:19" x14ac:dyDescent="0.25">
      <c r="A767" s="9" t="s">
        <v>359</v>
      </c>
      <c r="B767" s="9" t="s">
        <v>359</v>
      </c>
      <c r="C767" s="4">
        <v>201000877</v>
      </c>
      <c r="D767" s="4"/>
      <c r="E767" s="4" t="str">
        <f>"017682010"</f>
        <v>017682010</v>
      </c>
      <c r="F767" s="10">
        <v>40150</v>
      </c>
      <c r="G767" s="11">
        <v>2597.1999999999998</v>
      </c>
      <c r="H767" s="11">
        <v>2597.1999999999998</v>
      </c>
      <c r="I767" s="4" t="s">
        <v>366</v>
      </c>
      <c r="J767" s="4" t="s">
        <v>367</v>
      </c>
      <c r="K767" s="11">
        <v>0</v>
      </c>
      <c r="L767" s="4"/>
      <c r="M767" s="4"/>
      <c r="N767" s="11">
        <v>0</v>
      </c>
      <c r="O767" s="4"/>
      <c r="P767" s="4"/>
      <c r="Q767" s="11">
        <v>0</v>
      </c>
      <c r="R767" s="4"/>
      <c r="S767" s="12"/>
    </row>
    <row r="768" spans="1:19" x14ac:dyDescent="0.25">
      <c r="A768" s="9" t="s">
        <v>359</v>
      </c>
      <c r="B768" s="9" t="s">
        <v>359</v>
      </c>
      <c r="C768" s="4">
        <v>201000935</v>
      </c>
      <c r="D768" s="4"/>
      <c r="E768" s="4" t="str">
        <f>"020382010"</f>
        <v>020382010</v>
      </c>
      <c r="F768" s="10">
        <v>40157</v>
      </c>
      <c r="G768" s="11">
        <v>5894.09</v>
      </c>
      <c r="H768" s="11">
        <v>5894.09</v>
      </c>
      <c r="I768" s="4" t="s">
        <v>366</v>
      </c>
      <c r="J768" s="4" t="s">
        <v>367</v>
      </c>
      <c r="K768" s="11">
        <v>0</v>
      </c>
      <c r="L768" s="4"/>
      <c r="M768" s="4"/>
      <c r="N768" s="11">
        <v>0</v>
      </c>
      <c r="O768" s="4"/>
      <c r="P768" s="4"/>
      <c r="Q768" s="11">
        <v>0</v>
      </c>
      <c r="R768" s="4"/>
      <c r="S768" s="12"/>
    </row>
    <row r="769" spans="1:19" x14ac:dyDescent="0.25">
      <c r="A769" s="9" t="s">
        <v>359</v>
      </c>
      <c r="B769" s="9" t="s">
        <v>359</v>
      </c>
      <c r="C769" s="4">
        <v>201000980</v>
      </c>
      <c r="D769" s="4"/>
      <c r="E769" s="4" t="str">
        <f>"021472010"</f>
        <v>021472010</v>
      </c>
      <c r="F769" s="10">
        <v>40161</v>
      </c>
      <c r="G769" s="11">
        <v>5297.66</v>
      </c>
      <c r="H769" s="11">
        <v>5297.66</v>
      </c>
      <c r="I769" s="4" t="s">
        <v>366</v>
      </c>
      <c r="J769" s="4" t="s">
        <v>367</v>
      </c>
      <c r="K769" s="11">
        <v>0</v>
      </c>
      <c r="L769" s="4"/>
      <c r="M769" s="4"/>
      <c r="N769" s="11">
        <v>0</v>
      </c>
      <c r="O769" s="4"/>
      <c r="P769" s="4"/>
      <c r="Q769" s="11">
        <v>0</v>
      </c>
      <c r="R769" s="4"/>
      <c r="S769" s="12"/>
    </row>
    <row r="770" spans="1:19" x14ac:dyDescent="0.25">
      <c r="A770" s="9" t="s">
        <v>359</v>
      </c>
      <c r="B770" s="9" t="s">
        <v>359</v>
      </c>
      <c r="C770" s="4">
        <v>201000981</v>
      </c>
      <c r="D770" s="4" t="s">
        <v>1841</v>
      </c>
      <c r="E770" s="4" t="str">
        <f>"020082010"</f>
        <v>020082010</v>
      </c>
      <c r="F770" s="10">
        <v>40157</v>
      </c>
      <c r="G770" s="11">
        <v>6000</v>
      </c>
      <c r="H770" s="11">
        <v>6000</v>
      </c>
      <c r="I770" s="4" t="s">
        <v>366</v>
      </c>
      <c r="J770" s="4" t="s">
        <v>367</v>
      </c>
      <c r="K770" s="11">
        <v>0</v>
      </c>
      <c r="L770" s="4"/>
      <c r="M770" s="4"/>
      <c r="N770" s="11">
        <v>0</v>
      </c>
      <c r="O770" s="4"/>
      <c r="P770" s="4"/>
      <c r="Q770" s="11">
        <v>0</v>
      </c>
      <c r="R770" s="4"/>
      <c r="S770" s="12"/>
    </row>
    <row r="771" spans="1:19" x14ac:dyDescent="0.25">
      <c r="A771" s="9" t="s">
        <v>359</v>
      </c>
      <c r="B771" s="9" t="s">
        <v>359</v>
      </c>
      <c r="C771" s="4">
        <v>201000984</v>
      </c>
      <c r="D771" s="4" t="s">
        <v>1842</v>
      </c>
      <c r="E771" s="4" t="str">
        <f>"022452010"</f>
        <v>022452010</v>
      </c>
      <c r="F771" s="10">
        <v>40164</v>
      </c>
      <c r="G771" s="11">
        <v>6000</v>
      </c>
      <c r="H771" s="11">
        <v>6000</v>
      </c>
      <c r="I771" s="4" t="s">
        <v>366</v>
      </c>
      <c r="J771" s="4" t="s">
        <v>367</v>
      </c>
      <c r="K771" s="11">
        <v>0</v>
      </c>
      <c r="L771" s="4"/>
      <c r="M771" s="4"/>
      <c r="N771" s="11">
        <v>0</v>
      </c>
      <c r="O771" s="4"/>
      <c r="P771" s="4"/>
      <c r="Q771" s="11">
        <v>0</v>
      </c>
      <c r="R771" s="4"/>
      <c r="S771" s="12"/>
    </row>
    <row r="772" spans="1:19" x14ac:dyDescent="0.25">
      <c r="A772" s="9" t="s">
        <v>359</v>
      </c>
      <c r="B772" s="9" t="s">
        <v>359</v>
      </c>
      <c r="C772" s="4">
        <v>201001004</v>
      </c>
      <c r="D772" s="4"/>
      <c r="E772" s="4" t="str">
        <f>"021212010"</f>
        <v>021212010</v>
      </c>
      <c r="F772" s="10">
        <v>40158</v>
      </c>
      <c r="G772" s="11">
        <v>3981.12</v>
      </c>
      <c r="H772" s="11">
        <v>3981.12</v>
      </c>
      <c r="I772" s="4" t="s">
        <v>366</v>
      </c>
      <c r="J772" s="4" t="s">
        <v>367</v>
      </c>
      <c r="K772" s="11">
        <v>0</v>
      </c>
      <c r="L772" s="4"/>
      <c r="M772" s="4"/>
      <c r="N772" s="11">
        <v>0</v>
      </c>
      <c r="O772" s="4"/>
      <c r="P772" s="4"/>
      <c r="Q772" s="11">
        <v>0</v>
      </c>
      <c r="R772" s="4"/>
      <c r="S772" s="12"/>
    </row>
    <row r="773" spans="1:19" x14ac:dyDescent="0.25">
      <c r="A773" s="9" t="s">
        <v>359</v>
      </c>
      <c r="B773" s="9" t="s">
        <v>359</v>
      </c>
      <c r="C773" s="4">
        <v>201001011</v>
      </c>
      <c r="D773" s="4"/>
      <c r="E773" s="4" t="str">
        <f>"034862010"</f>
        <v>034862010</v>
      </c>
      <c r="F773" s="10">
        <v>40212</v>
      </c>
      <c r="G773" s="11">
        <v>23000</v>
      </c>
      <c r="H773" s="11">
        <v>23000</v>
      </c>
      <c r="I773" s="4" t="s">
        <v>366</v>
      </c>
      <c r="J773" s="4" t="s">
        <v>367</v>
      </c>
      <c r="K773" s="11">
        <v>0</v>
      </c>
      <c r="L773" s="4"/>
      <c r="M773" s="4"/>
      <c r="N773" s="11">
        <v>0</v>
      </c>
      <c r="O773" s="4"/>
      <c r="P773" s="4"/>
      <c r="Q773" s="11">
        <v>0</v>
      </c>
      <c r="R773" s="4"/>
      <c r="S773" s="12"/>
    </row>
    <row r="774" spans="1:19" x14ac:dyDescent="0.25">
      <c r="A774" s="9" t="s">
        <v>359</v>
      </c>
      <c r="B774" s="9" t="s">
        <v>359</v>
      </c>
      <c r="C774" s="4">
        <v>201001014</v>
      </c>
      <c r="D774" s="4"/>
      <c r="E774" s="4" t="str">
        <f>"020002010"</f>
        <v>020002010</v>
      </c>
      <c r="F774" s="10">
        <v>40157</v>
      </c>
      <c r="G774" s="11">
        <v>59004</v>
      </c>
      <c r="H774" s="11">
        <v>59004</v>
      </c>
      <c r="I774" s="4" t="s">
        <v>54</v>
      </c>
      <c r="J774" s="4" t="s">
        <v>55</v>
      </c>
      <c r="K774" s="11">
        <v>0</v>
      </c>
      <c r="L774" s="4"/>
      <c r="M774" s="4"/>
      <c r="N774" s="11">
        <v>0</v>
      </c>
      <c r="O774" s="4"/>
      <c r="P774" s="4"/>
      <c r="Q774" s="11">
        <v>0</v>
      </c>
      <c r="R774" s="4"/>
      <c r="S774" s="12"/>
    </row>
    <row r="775" spans="1:19" x14ac:dyDescent="0.25">
      <c r="A775" s="9" t="s">
        <v>359</v>
      </c>
      <c r="B775" s="9" t="s">
        <v>359</v>
      </c>
      <c r="C775" s="4">
        <v>201001032</v>
      </c>
      <c r="D775" s="4"/>
      <c r="E775" s="4" t="str">
        <f>"020162010"</f>
        <v>020162010</v>
      </c>
      <c r="F775" s="10">
        <v>40157</v>
      </c>
      <c r="G775" s="11">
        <v>7664.46</v>
      </c>
      <c r="H775" s="11">
        <v>7664.46</v>
      </c>
      <c r="I775" s="4" t="s">
        <v>366</v>
      </c>
      <c r="J775" s="4" t="s">
        <v>367</v>
      </c>
      <c r="K775" s="11">
        <v>0</v>
      </c>
      <c r="L775" s="4"/>
      <c r="M775" s="4"/>
      <c r="N775" s="11">
        <v>0</v>
      </c>
      <c r="O775" s="4"/>
      <c r="P775" s="4"/>
      <c r="Q775" s="11">
        <v>0</v>
      </c>
      <c r="R775" s="4"/>
      <c r="S775" s="12"/>
    </row>
    <row r="776" spans="1:19" x14ac:dyDescent="0.25">
      <c r="A776" s="9" t="s">
        <v>359</v>
      </c>
      <c r="B776" s="9" t="s">
        <v>359</v>
      </c>
      <c r="C776" s="4">
        <v>201001063</v>
      </c>
      <c r="D776" s="4" t="s">
        <v>1843</v>
      </c>
      <c r="E776" s="4" t="str">
        <f>"034612010"</f>
        <v>034612010</v>
      </c>
      <c r="F776" s="10">
        <v>40213</v>
      </c>
      <c r="G776" s="11">
        <v>12000</v>
      </c>
      <c r="H776" s="11">
        <v>12000</v>
      </c>
      <c r="I776" s="4" t="s">
        <v>366</v>
      </c>
      <c r="J776" s="4" t="s">
        <v>367</v>
      </c>
      <c r="K776" s="11">
        <v>0</v>
      </c>
      <c r="L776" s="4"/>
      <c r="M776" s="4"/>
      <c r="N776" s="11">
        <v>0</v>
      </c>
      <c r="O776" s="4"/>
      <c r="P776" s="4"/>
      <c r="Q776" s="11">
        <v>0</v>
      </c>
      <c r="R776" s="4"/>
      <c r="S776" s="12"/>
    </row>
    <row r="777" spans="1:19" x14ac:dyDescent="0.25">
      <c r="A777" s="9" t="s">
        <v>359</v>
      </c>
      <c r="B777" s="9" t="s">
        <v>359</v>
      </c>
      <c r="C777" s="4">
        <v>201001064</v>
      </c>
      <c r="D777" s="4"/>
      <c r="E777" s="4" t="str">
        <f>"021232010"</f>
        <v>021232010</v>
      </c>
      <c r="F777" s="10">
        <v>40158</v>
      </c>
      <c r="G777" s="11">
        <v>3233.79</v>
      </c>
      <c r="H777" s="11">
        <v>3233.79</v>
      </c>
      <c r="I777" s="4" t="s">
        <v>366</v>
      </c>
      <c r="J777" s="4" t="s">
        <v>367</v>
      </c>
      <c r="K777" s="11">
        <v>0</v>
      </c>
      <c r="L777" s="4"/>
      <c r="M777" s="4"/>
      <c r="N777" s="11">
        <v>0</v>
      </c>
      <c r="O777" s="4"/>
      <c r="P777" s="4"/>
      <c r="Q777" s="11">
        <v>0</v>
      </c>
      <c r="R777" s="4"/>
      <c r="S777" s="12"/>
    </row>
    <row r="778" spans="1:19" x14ac:dyDescent="0.25">
      <c r="A778" s="9" t="s">
        <v>359</v>
      </c>
      <c r="B778" s="9" t="s">
        <v>359</v>
      </c>
      <c r="C778" s="4">
        <v>201001079</v>
      </c>
      <c r="D778" s="4"/>
      <c r="E778" s="4" t="str">
        <f>"021572010"</f>
        <v>021572010</v>
      </c>
      <c r="F778" s="10">
        <v>40161</v>
      </c>
      <c r="G778" s="11">
        <v>3140.03</v>
      </c>
      <c r="H778" s="11">
        <v>3140.03</v>
      </c>
      <c r="I778" s="4" t="s">
        <v>366</v>
      </c>
      <c r="J778" s="4" t="s">
        <v>367</v>
      </c>
      <c r="K778" s="11">
        <v>0</v>
      </c>
      <c r="L778" s="4"/>
      <c r="M778" s="4"/>
      <c r="N778" s="11">
        <v>0</v>
      </c>
      <c r="O778" s="4"/>
      <c r="P778" s="4"/>
      <c r="Q778" s="11">
        <v>0</v>
      </c>
      <c r="R778" s="4"/>
      <c r="S778" s="12"/>
    </row>
    <row r="779" spans="1:19" x14ac:dyDescent="0.25">
      <c r="A779" s="9" t="s">
        <v>359</v>
      </c>
      <c r="B779" s="9" t="s">
        <v>359</v>
      </c>
      <c r="C779" s="4">
        <v>201001118</v>
      </c>
      <c r="D779" s="4" t="s">
        <v>1844</v>
      </c>
      <c r="E779" s="4" t="str">
        <f>"022612010"</f>
        <v>022612010</v>
      </c>
      <c r="F779" s="10">
        <v>40164</v>
      </c>
      <c r="G779" s="11">
        <v>19410</v>
      </c>
      <c r="H779" s="11">
        <v>19410</v>
      </c>
      <c r="I779" s="4" t="s">
        <v>366</v>
      </c>
      <c r="J779" s="4" t="s">
        <v>367</v>
      </c>
      <c r="K779" s="11">
        <v>0</v>
      </c>
      <c r="L779" s="4"/>
      <c r="M779" s="4"/>
      <c r="N779" s="11">
        <v>0</v>
      </c>
      <c r="O779" s="4"/>
      <c r="P779" s="4"/>
      <c r="Q779" s="11">
        <v>0</v>
      </c>
      <c r="R779" s="4"/>
      <c r="S779" s="12"/>
    </row>
    <row r="780" spans="1:19" x14ac:dyDescent="0.25">
      <c r="A780" s="9" t="s">
        <v>359</v>
      </c>
      <c r="B780" s="9" t="s">
        <v>359</v>
      </c>
      <c r="C780" s="4">
        <v>201001119</v>
      </c>
      <c r="D780" s="4" t="s">
        <v>1845</v>
      </c>
      <c r="E780" s="4" t="str">
        <f>"022992010"</f>
        <v>022992010</v>
      </c>
      <c r="F780" s="10">
        <v>40165</v>
      </c>
      <c r="G780" s="11">
        <v>6500</v>
      </c>
      <c r="H780" s="11">
        <v>6500</v>
      </c>
      <c r="I780" s="4" t="s">
        <v>366</v>
      </c>
      <c r="J780" s="4" t="s">
        <v>367</v>
      </c>
      <c r="K780" s="11">
        <v>0</v>
      </c>
      <c r="L780" s="4"/>
      <c r="M780" s="4"/>
      <c r="N780" s="11">
        <v>0</v>
      </c>
      <c r="O780" s="4"/>
      <c r="P780" s="4"/>
      <c r="Q780" s="11">
        <v>0</v>
      </c>
      <c r="R780" s="4"/>
      <c r="S780" s="12"/>
    </row>
    <row r="781" spans="1:19" x14ac:dyDescent="0.25">
      <c r="A781" s="9" t="s">
        <v>359</v>
      </c>
      <c r="B781" s="9" t="s">
        <v>359</v>
      </c>
      <c r="C781" s="4">
        <v>201001120</v>
      </c>
      <c r="D781" s="4"/>
      <c r="E781" s="4" t="str">
        <f>"022672010"</f>
        <v>022672010</v>
      </c>
      <c r="F781" s="10">
        <v>40164</v>
      </c>
      <c r="G781" s="11">
        <v>2650</v>
      </c>
      <c r="H781" s="11">
        <v>2650</v>
      </c>
      <c r="I781" s="4" t="s">
        <v>366</v>
      </c>
      <c r="J781" s="4" t="s">
        <v>367</v>
      </c>
      <c r="K781" s="11">
        <v>0</v>
      </c>
      <c r="L781" s="4"/>
      <c r="M781" s="4"/>
      <c r="N781" s="11">
        <v>0</v>
      </c>
      <c r="O781" s="4"/>
      <c r="P781" s="4"/>
      <c r="Q781" s="11">
        <v>0</v>
      </c>
      <c r="R781" s="4"/>
      <c r="S781" s="12"/>
    </row>
    <row r="782" spans="1:19" x14ac:dyDescent="0.25">
      <c r="A782" s="9" t="s">
        <v>359</v>
      </c>
      <c r="B782" s="9" t="s">
        <v>359</v>
      </c>
      <c r="C782" s="4">
        <v>201001122</v>
      </c>
      <c r="D782" s="4" t="s">
        <v>1846</v>
      </c>
      <c r="E782" s="4" t="str">
        <f>"023012010"</f>
        <v>023012010</v>
      </c>
      <c r="F782" s="10">
        <v>40165</v>
      </c>
      <c r="G782" s="11">
        <v>35000</v>
      </c>
      <c r="H782" s="11">
        <v>35000</v>
      </c>
      <c r="I782" s="4" t="s">
        <v>366</v>
      </c>
      <c r="J782" s="4" t="s">
        <v>367</v>
      </c>
      <c r="K782" s="11">
        <v>0</v>
      </c>
      <c r="L782" s="4"/>
      <c r="M782" s="4"/>
      <c r="N782" s="11">
        <v>0</v>
      </c>
      <c r="O782" s="4"/>
      <c r="P782" s="4"/>
      <c r="Q782" s="11">
        <v>0</v>
      </c>
      <c r="R782" s="4"/>
      <c r="S782" s="12"/>
    </row>
    <row r="783" spans="1:19" x14ac:dyDescent="0.25">
      <c r="A783" s="9" t="s">
        <v>359</v>
      </c>
      <c r="B783" s="9" t="s">
        <v>359</v>
      </c>
      <c r="C783" s="4">
        <v>201001123</v>
      </c>
      <c r="D783" s="4"/>
      <c r="E783" s="4" t="str">
        <f>"022412010"</f>
        <v>022412010</v>
      </c>
      <c r="F783" s="10">
        <v>40164</v>
      </c>
      <c r="G783" s="11">
        <v>5376.7</v>
      </c>
      <c r="H783" s="11">
        <v>5376.7</v>
      </c>
      <c r="I783" s="4" t="s">
        <v>366</v>
      </c>
      <c r="J783" s="4" t="s">
        <v>367</v>
      </c>
      <c r="K783" s="11">
        <v>0</v>
      </c>
      <c r="L783" s="4"/>
      <c r="M783" s="4"/>
      <c r="N783" s="11">
        <v>0</v>
      </c>
      <c r="O783" s="4"/>
      <c r="P783" s="4"/>
      <c r="Q783" s="11">
        <v>0</v>
      </c>
      <c r="R783" s="4"/>
      <c r="S783" s="12"/>
    </row>
    <row r="784" spans="1:19" x14ac:dyDescent="0.25">
      <c r="A784" s="9" t="s">
        <v>359</v>
      </c>
      <c r="B784" s="9" t="s">
        <v>359</v>
      </c>
      <c r="C784" s="4">
        <v>201001132</v>
      </c>
      <c r="D784" s="4"/>
      <c r="E784" s="4" t="str">
        <f>"022492010"</f>
        <v>022492010</v>
      </c>
      <c r="F784" s="10">
        <v>40164</v>
      </c>
      <c r="G784" s="11">
        <v>2926.15</v>
      </c>
      <c r="H784" s="11">
        <v>2926.15</v>
      </c>
      <c r="I784" s="4" t="s">
        <v>366</v>
      </c>
      <c r="J784" s="4" t="s">
        <v>367</v>
      </c>
      <c r="K784" s="11">
        <v>0</v>
      </c>
      <c r="L784" s="4"/>
      <c r="M784" s="4"/>
      <c r="N784" s="11">
        <v>0</v>
      </c>
      <c r="O784" s="4"/>
      <c r="P784" s="4"/>
      <c r="Q784" s="11">
        <v>0</v>
      </c>
      <c r="R784" s="4"/>
      <c r="S784" s="12"/>
    </row>
    <row r="785" spans="1:19" x14ac:dyDescent="0.25">
      <c r="A785" s="9" t="s">
        <v>359</v>
      </c>
      <c r="B785" s="9" t="s">
        <v>359</v>
      </c>
      <c r="C785" s="4">
        <v>201001133</v>
      </c>
      <c r="D785" s="4" t="s">
        <v>1847</v>
      </c>
      <c r="E785" s="4" t="str">
        <f>"022392010"</f>
        <v>022392010</v>
      </c>
      <c r="F785" s="10">
        <v>40164</v>
      </c>
      <c r="G785" s="11">
        <v>7000</v>
      </c>
      <c r="H785" s="11">
        <v>7000</v>
      </c>
      <c r="I785" s="4" t="s">
        <v>366</v>
      </c>
      <c r="J785" s="4" t="s">
        <v>367</v>
      </c>
      <c r="K785" s="11">
        <v>0</v>
      </c>
      <c r="L785" s="4"/>
      <c r="M785" s="4"/>
      <c r="N785" s="11">
        <v>0</v>
      </c>
      <c r="O785" s="4"/>
      <c r="P785" s="4"/>
      <c r="Q785" s="11">
        <v>0</v>
      </c>
      <c r="R785" s="4"/>
      <c r="S785" s="12"/>
    </row>
    <row r="786" spans="1:19" x14ac:dyDescent="0.25">
      <c r="A786" s="9" t="s">
        <v>359</v>
      </c>
      <c r="B786" s="9" t="s">
        <v>359</v>
      </c>
      <c r="C786" s="4">
        <v>201001136</v>
      </c>
      <c r="D786" s="4"/>
      <c r="E786" s="4" t="str">
        <f>"022592010"</f>
        <v>022592010</v>
      </c>
      <c r="F786" s="10">
        <v>40164</v>
      </c>
      <c r="G786" s="11">
        <v>3014.59</v>
      </c>
      <c r="H786" s="11">
        <v>3014.59</v>
      </c>
      <c r="I786" s="4" t="s">
        <v>366</v>
      </c>
      <c r="J786" s="4" t="s">
        <v>367</v>
      </c>
      <c r="K786" s="11">
        <v>0</v>
      </c>
      <c r="L786" s="4"/>
      <c r="M786" s="4"/>
      <c r="N786" s="11">
        <v>0</v>
      </c>
      <c r="O786" s="4"/>
      <c r="P786" s="4"/>
      <c r="Q786" s="11">
        <v>0</v>
      </c>
      <c r="R786" s="4"/>
      <c r="S786" s="12"/>
    </row>
    <row r="787" spans="1:19" x14ac:dyDescent="0.25">
      <c r="A787" s="9" t="s">
        <v>359</v>
      </c>
      <c r="B787" s="9" t="s">
        <v>359</v>
      </c>
      <c r="C787" s="4">
        <v>201001137</v>
      </c>
      <c r="D787" s="4"/>
      <c r="E787" s="4" t="str">
        <f>"022652010"</f>
        <v>022652010</v>
      </c>
      <c r="F787" s="10">
        <v>40164</v>
      </c>
      <c r="G787" s="11">
        <v>6090</v>
      </c>
      <c r="H787" s="11">
        <v>6090</v>
      </c>
      <c r="I787" s="4" t="s">
        <v>366</v>
      </c>
      <c r="J787" s="4" t="s">
        <v>367</v>
      </c>
      <c r="K787" s="11">
        <v>0</v>
      </c>
      <c r="L787" s="4"/>
      <c r="M787" s="4"/>
      <c r="N787" s="11">
        <v>0</v>
      </c>
      <c r="O787" s="4"/>
      <c r="P787" s="4"/>
      <c r="Q787" s="11">
        <v>0</v>
      </c>
      <c r="R787" s="4"/>
      <c r="S787" s="12"/>
    </row>
    <row r="788" spans="1:19" x14ac:dyDescent="0.25">
      <c r="A788" s="9" t="s">
        <v>359</v>
      </c>
      <c r="B788" s="9" t="s">
        <v>359</v>
      </c>
      <c r="C788" s="4">
        <v>201001139</v>
      </c>
      <c r="D788" s="4"/>
      <c r="E788" s="4" t="str">
        <f>"022572010"</f>
        <v>022572010</v>
      </c>
      <c r="F788" s="10">
        <v>40164</v>
      </c>
      <c r="G788" s="11">
        <v>2657.32</v>
      </c>
      <c r="H788" s="11">
        <v>2657.32</v>
      </c>
      <c r="I788" s="4" t="s">
        <v>366</v>
      </c>
      <c r="J788" s="4" t="s">
        <v>367</v>
      </c>
      <c r="K788" s="11">
        <v>0</v>
      </c>
      <c r="L788" s="4"/>
      <c r="M788" s="4"/>
      <c r="N788" s="11">
        <v>0</v>
      </c>
      <c r="O788" s="4"/>
      <c r="P788" s="4"/>
      <c r="Q788" s="11">
        <v>0</v>
      </c>
      <c r="R788" s="4"/>
      <c r="S788" s="12"/>
    </row>
    <row r="789" spans="1:19" x14ac:dyDescent="0.25">
      <c r="A789" s="9" t="s">
        <v>359</v>
      </c>
      <c r="B789" s="9" t="s">
        <v>359</v>
      </c>
      <c r="C789" s="4">
        <v>201001140</v>
      </c>
      <c r="D789" s="4" t="s">
        <v>1848</v>
      </c>
      <c r="E789" s="4" t="str">
        <f>"022552010"</f>
        <v>022552010</v>
      </c>
      <c r="F789" s="10">
        <v>40164</v>
      </c>
      <c r="G789" s="11">
        <v>11500</v>
      </c>
      <c r="H789" s="11">
        <v>11500</v>
      </c>
      <c r="I789" s="4" t="s">
        <v>366</v>
      </c>
      <c r="J789" s="4" t="s">
        <v>367</v>
      </c>
      <c r="K789" s="11">
        <v>0</v>
      </c>
      <c r="L789" s="4"/>
      <c r="M789" s="4"/>
      <c r="N789" s="11">
        <v>0</v>
      </c>
      <c r="O789" s="4"/>
      <c r="P789" s="4"/>
      <c r="Q789" s="11">
        <v>0</v>
      </c>
      <c r="R789" s="4"/>
      <c r="S789" s="12"/>
    </row>
    <row r="790" spans="1:19" x14ac:dyDescent="0.25">
      <c r="A790" s="9" t="s">
        <v>359</v>
      </c>
      <c r="B790" s="9" t="s">
        <v>359</v>
      </c>
      <c r="C790" s="4">
        <v>201001141</v>
      </c>
      <c r="D790" s="4"/>
      <c r="E790" s="4" t="str">
        <f>"022472010"</f>
        <v>022472010</v>
      </c>
      <c r="F790" s="10">
        <v>40164</v>
      </c>
      <c r="G790" s="11">
        <v>38500</v>
      </c>
      <c r="H790" s="11">
        <v>38500</v>
      </c>
      <c r="I790" s="4" t="s">
        <v>366</v>
      </c>
      <c r="J790" s="4" t="s">
        <v>367</v>
      </c>
      <c r="K790" s="11">
        <v>0</v>
      </c>
      <c r="L790" s="4"/>
      <c r="M790" s="4"/>
      <c r="N790" s="11">
        <v>0</v>
      </c>
      <c r="O790" s="4"/>
      <c r="P790" s="4"/>
      <c r="Q790" s="11">
        <v>0</v>
      </c>
      <c r="R790" s="4"/>
      <c r="S790" s="12"/>
    </row>
    <row r="791" spans="1:19" x14ac:dyDescent="0.25">
      <c r="A791" s="9" t="s">
        <v>359</v>
      </c>
      <c r="B791" s="9" t="s">
        <v>359</v>
      </c>
      <c r="C791" s="4">
        <v>201001156</v>
      </c>
      <c r="D791" s="4"/>
      <c r="E791" s="4" t="str">
        <f>"023152010"</f>
        <v>023152010</v>
      </c>
      <c r="F791" s="10">
        <v>40165</v>
      </c>
      <c r="G791" s="11">
        <v>5672.05</v>
      </c>
      <c r="H791" s="11">
        <v>5672.05</v>
      </c>
      <c r="I791" s="4" t="s">
        <v>366</v>
      </c>
      <c r="J791" s="4" t="s">
        <v>367</v>
      </c>
      <c r="K791" s="11">
        <v>0</v>
      </c>
      <c r="L791" s="4"/>
      <c r="M791" s="4"/>
      <c r="N791" s="11">
        <v>0</v>
      </c>
      <c r="O791" s="4"/>
      <c r="P791" s="4"/>
      <c r="Q791" s="11">
        <v>0</v>
      </c>
      <c r="R791" s="4"/>
      <c r="S791" s="12"/>
    </row>
    <row r="792" spans="1:19" x14ac:dyDescent="0.25">
      <c r="A792" s="9" t="s">
        <v>359</v>
      </c>
      <c r="B792" s="9" t="s">
        <v>359</v>
      </c>
      <c r="C792" s="4">
        <v>201001162</v>
      </c>
      <c r="D792" s="4" t="s">
        <v>1849</v>
      </c>
      <c r="E792" s="4" t="str">
        <f>"023612010"</f>
        <v>023612010</v>
      </c>
      <c r="F792" s="10">
        <v>40165</v>
      </c>
      <c r="G792" s="11">
        <v>10000</v>
      </c>
      <c r="H792" s="11">
        <v>10000</v>
      </c>
      <c r="I792" s="4" t="s">
        <v>366</v>
      </c>
      <c r="J792" s="4" t="s">
        <v>367</v>
      </c>
      <c r="K792" s="11">
        <v>0</v>
      </c>
      <c r="L792" s="4"/>
      <c r="M792" s="4"/>
      <c r="N792" s="11">
        <v>0</v>
      </c>
      <c r="O792" s="4"/>
      <c r="P792" s="4"/>
      <c r="Q792" s="11">
        <v>0</v>
      </c>
      <c r="R792" s="4"/>
      <c r="S792" s="12"/>
    </row>
    <row r="793" spans="1:19" x14ac:dyDescent="0.25">
      <c r="A793" s="9" t="s">
        <v>359</v>
      </c>
      <c r="B793" s="9" t="s">
        <v>359</v>
      </c>
      <c r="C793" s="4">
        <v>201001163</v>
      </c>
      <c r="D793" s="4"/>
      <c r="E793" s="4" t="str">
        <f>"023192010"</f>
        <v>023192010</v>
      </c>
      <c r="F793" s="10">
        <v>40165</v>
      </c>
      <c r="G793" s="11">
        <v>6677.55</v>
      </c>
      <c r="H793" s="11">
        <v>6677.55</v>
      </c>
      <c r="I793" s="4" t="s">
        <v>366</v>
      </c>
      <c r="J793" s="4" t="s">
        <v>367</v>
      </c>
      <c r="K793" s="11">
        <v>0</v>
      </c>
      <c r="L793" s="4"/>
      <c r="M793" s="4"/>
      <c r="N793" s="11">
        <v>0</v>
      </c>
      <c r="O793" s="4"/>
      <c r="P793" s="4"/>
      <c r="Q793" s="11">
        <v>0</v>
      </c>
      <c r="R793" s="4"/>
      <c r="S793" s="12"/>
    </row>
    <row r="794" spans="1:19" x14ac:dyDescent="0.25">
      <c r="A794" s="9" t="s">
        <v>359</v>
      </c>
      <c r="B794" s="9" t="s">
        <v>359</v>
      </c>
      <c r="C794" s="4">
        <v>201001168</v>
      </c>
      <c r="D794" s="4"/>
      <c r="E794" s="4" t="str">
        <f>"023572010"</f>
        <v>023572010</v>
      </c>
      <c r="F794" s="10">
        <v>40165</v>
      </c>
      <c r="G794" s="11">
        <v>2619.25</v>
      </c>
      <c r="H794" s="11">
        <v>2619.25</v>
      </c>
      <c r="I794" s="4" t="s">
        <v>366</v>
      </c>
      <c r="J794" s="4" t="s">
        <v>367</v>
      </c>
      <c r="K794" s="11">
        <v>0</v>
      </c>
      <c r="L794" s="4"/>
      <c r="M794" s="4"/>
      <c r="N794" s="11">
        <v>0</v>
      </c>
      <c r="O794" s="4"/>
      <c r="P794" s="4"/>
      <c r="Q794" s="11">
        <v>0</v>
      </c>
      <c r="R794" s="4"/>
      <c r="S794" s="12"/>
    </row>
    <row r="795" spans="1:19" x14ac:dyDescent="0.25">
      <c r="A795" s="9" t="s">
        <v>359</v>
      </c>
      <c r="B795" s="9" t="s">
        <v>359</v>
      </c>
      <c r="C795" s="4">
        <v>201001169</v>
      </c>
      <c r="D795" s="4"/>
      <c r="E795" s="4" t="str">
        <f>"023592010"</f>
        <v>023592010</v>
      </c>
      <c r="F795" s="10">
        <v>40165</v>
      </c>
      <c r="G795" s="11">
        <v>4133.2299999999996</v>
      </c>
      <c r="H795" s="11">
        <v>4133.2299999999996</v>
      </c>
      <c r="I795" s="4" t="s">
        <v>366</v>
      </c>
      <c r="J795" s="4" t="s">
        <v>367</v>
      </c>
      <c r="K795" s="11">
        <v>0</v>
      </c>
      <c r="L795" s="4"/>
      <c r="M795" s="4"/>
      <c r="N795" s="11">
        <v>0</v>
      </c>
      <c r="O795" s="4"/>
      <c r="P795" s="4"/>
      <c r="Q795" s="11">
        <v>0</v>
      </c>
      <c r="R795" s="4"/>
      <c r="S795" s="12"/>
    </row>
    <row r="796" spans="1:19" x14ac:dyDescent="0.25">
      <c r="A796" s="9" t="s">
        <v>359</v>
      </c>
      <c r="B796" s="9" t="s">
        <v>359</v>
      </c>
      <c r="C796" s="4">
        <v>201001190</v>
      </c>
      <c r="D796" s="4"/>
      <c r="E796" s="4" t="str">
        <f>"024272010"</f>
        <v>024272010</v>
      </c>
      <c r="F796" s="10">
        <v>40176</v>
      </c>
      <c r="G796" s="11">
        <v>4288.1899999999996</v>
      </c>
      <c r="H796" s="11">
        <v>4288.1899999999996</v>
      </c>
      <c r="I796" s="4" t="s">
        <v>366</v>
      </c>
      <c r="J796" s="4" t="s">
        <v>367</v>
      </c>
      <c r="K796" s="11">
        <v>0</v>
      </c>
      <c r="L796" s="4"/>
      <c r="M796" s="4"/>
      <c r="N796" s="11">
        <v>0</v>
      </c>
      <c r="O796" s="4"/>
      <c r="P796" s="4"/>
      <c r="Q796" s="11">
        <v>0</v>
      </c>
      <c r="R796" s="4"/>
      <c r="S796" s="12"/>
    </row>
    <row r="797" spans="1:19" x14ac:dyDescent="0.25">
      <c r="A797" s="9" t="s">
        <v>359</v>
      </c>
      <c r="B797" s="9" t="s">
        <v>359</v>
      </c>
      <c r="C797" s="4">
        <v>201001212</v>
      </c>
      <c r="D797" s="4"/>
      <c r="E797" s="4" t="str">
        <f>"024732010"</f>
        <v>024732010</v>
      </c>
      <c r="F797" s="10">
        <v>40177</v>
      </c>
      <c r="G797" s="11">
        <v>4616.22</v>
      </c>
      <c r="H797" s="11">
        <v>4616.22</v>
      </c>
      <c r="I797" s="4" t="s">
        <v>366</v>
      </c>
      <c r="J797" s="4" t="s">
        <v>367</v>
      </c>
      <c r="K797" s="11">
        <v>0</v>
      </c>
      <c r="L797" s="4"/>
      <c r="M797" s="4"/>
      <c r="N797" s="11">
        <v>0</v>
      </c>
      <c r="O797" s="4"/>
      <c r="P797" s="4"/>
      <c r="Q797" s="11">
        <v>0</v>
      </c>
      <c r="R797" s="4"/>
      <c r="S797" s="12"/>
    </row>
    <row r="798" spans="1:19" x14ac:dyDescent="0.25">
      <c r="A798" s="9" t="s">
        <v>359</v>
      </c>
      <c r="B798" s="9" t="s">
        <v>359</v>
      </c>
      <c r="C798" s="4">
        <v>201001215</v>
      </c>
      <c r="D798" s="4" t="s">
        <v>1850</v>
      </c>
      <c r="E798" s="4" t="str">
        <f>"024292010"</f>
        <v>024292010</v>
      </c>
      <c r="F798" s="10">
        <v>40171</v>
      </c>
      <c r="G798" s="11">
        <v>300000</v>
      </c>
      <c r="H798" s="11">
        <v>300000</v>
      </c>
      <c r="I798" s="4" t="s">
        <v>687</v>
      </c>
      <c r="J798" s="4" t="s">
        <v>688</v>
      </c>
      <c r="K798" s="11">
        <v>0</v>
      </c>
      <c r="L798" s="4"/>
      <c r="M798" s="4"/>
      <c r="N798" s="11">
        <v>0</v>
      </c>
      <c r="O798" s="4"/>
      <c r="P798" s="4"/>
      <c r="Q798" s="11">
        <v>0</v>
      </c>
      <c r="R798" s="4"/>
      <c r="S798" s="12"/>
    </row>
    <row r="799" spans="1:19" x14ac:dyDescent="0.25">
      <c r="A799" s="9" t="s">
        <v>359</v>
      </c>
      <c r="B799" s="9" t="s">
        <v>359</v>
      </c>
      <c r="C799" s="4">
        <v>201001232</v>
      </c>
      <c r="D799" s="4"/>
      <c r="E799" s="4" t="str">
        <f>"024432010"</f>
        <v>024432010</v>
      </c>
      <c r="F799" s="10">
        <v>40177</v>
      </c>
      <c r="G799" s="11">
        <v>11936.6</v>
      </c>
      <c r="H799" s="11">
        <v>11936.6</v>
      </c>
      <c r="I799" s="4" t="s">
        <v>54</v>
      </c>
      <c r="J799" s="4" t="s">
        <v>55</v>
      </c>
      <c r="K799" s="11">
        <v>0</v>
      </c>
      <c r="L799" s="4"/>
      <c r="M799" s="4"/>
      <c r="N799" s="11">
        <v>0</v>
      </c>
      <c r="O799" s="4"/>
      <c r="P799" s="4"/>
      <c r="Q799" s="11">
        <v>0</v>
      </c>
      <c r="R799" s="4"/>
      <c r="S799" s="12"/>
    </row>
    <row r="800" spans="1:19" x14ac:dyDescent="0.25">
      <c r="A800" s="9" t="s">
        <v>359</v>
      </c>
      <c r="B800" s="9" t="s">
        <v>359</v>
      </c>
      <c r="C800" s="4">
        <v>201001235</v>
      </c>
      <c r="D800" s="4"/>
      <c r="E800" s="4" t="str">
        <f>"024772010"</f>
        <v>024772010</v>
      </c>
      <c r="F800" s="10">
        <v>40177</v>
      </c>
      <c r="G800" s="11">
        <v>9436.11</v>
      </c>
      <c r="H800" s="11">
        <v>9436.11</v>
      </c>
      <c r="I800" s="4" t="s">
        <v>366</v>
      </c>
      <c r="J800" s="4" t="s">
        <v>367</v>
      </c>
      <c r="K800" s="11">
        <v>0</v>
      </c>
      <c r="L800" s="4"/>
      <c r="M800" s="4"/>
      <c r="N800" s="11">
        <v>0</v>
      </c>
      <c r="O800" s="4"/>
      <c r="P800" s="4"/>
      <c r="Q800" s="11">
        <v>0</v>
      </c>
      <c r="R800" s="4"/>
      <c r="S800" s="12"/>
    </row>
    <row r="801" spans="1:19" x14ac:dyDescent="0.25">
      <c r="A801" s="9" t="s">
        <v>359</v>
      </c>
      <c r="B801" s="9" t="s">
        <v>359</v>
      </c>
      <c r="C801" s="4">
        <v>201001244</v>
      </c>
      <c r="D801" s="4"/>
      <c r="E801" s="4" t="str">
        <f>"024712010"</f>
        <v>024712010</v>
      </c>
      <c r="F801" s="10">
        <v>40177</v>
      </c>
      <c r="G801" s="11">
        <v>3122.3</v>
      </c>
      <c r="H801" s="11">
        <v>3122.3</v>
      </c>
      <c r="I801" s="4" t="s">
        <v>366</v>
      </c>
      <c r="J801" s="4" t="s">
        <v>367</v>
      </c>
      <c r="K801" s="11">
        <v>0</v>
      </c>
      <c r="L801" s="4"/>
      <c r="M801" s="4"/>
      <c r="N801" s="11">
        <v>0</v>
      </c>
      <c r="O801" s="4"/>
      <c r="P801" s="4"/>
      <c r="Q801" s="11">
        <v>0</v>
      </c>
      <c r="R801" s="4"/>
      <c r="S801" s="12"/>
    </row>
    <row r="802" spans="1:19" x14ac:dyDescent="0.25">
      <c r="A802" s="9" t="s">
        <v>359</v>
      </c>
      <c r="B802" s="9" t="s">
        <v>359</v>
      </c>
      <c r="C802" s="4">
        <v>201001245</v>
      </c>
      <c r="D802" s="4"/>
      <c r="E802" s="4" t="str">
        <f>"024752010"</f>
        <v>024752010</v>
      </c>
      <c r="F802" s="10">
        <v>40177</v>
      </c>
      <c r="G802" s="11">
        <v>7567.04</v>
      </c>
      <c r="H802" s="11">
        <v>7567.04</v>
      </c>
      <c r="I802" s="4" t="s">
        <v>366</v>
      </c>
      <c r="J802" s="4" t="s">
        <v>367</v>
      </c>
      <c r="K802" s="11">
        <v>0</v>
      </c>
      <c r="L802" s="4"/>
      <c r="M802" s="4"/>
      <c r="N802" s="11">
        <v>0</v>
      </c>
      <c r="O802" s="4"/>
      <c r="P802" s="4"/>
      <c r="Q802" s="11">
        <v>0</v>
      </c>
      <c r="R802" s="4"/>
      <c r="S802" s="12"/>
    </row>
    <row r="803" spans="1:19" x14ac:dyDescent="0.25">
      <c r="A803" s="9" t="s">
        <v>359</v>
      </c>
      <c r="B803" s="9" t="s">
        <v>359</v>
      </c>
      <c r="C803" s="4">
        <v>201001249</v>
      </c>
      <c r="D803" s="4"/>
      <c r="E803" s="4" t="str">
        <f>"025892010"</f>
        <v>025892010</v>
      </c>
      <c r="F803" s="10">
        <v>40186</v>
      </c>
      <c r="G803" s="11">
        <v>3458.07</v>
      </c>
      <c r="H803" s="11">
        <v>3458.07</v>
      </c>
      <c r="I803" s="4" t="s">
        <v>366</v>
      </c>
      <c r="J803" s="4" t="s">
        <v>367</v>
      </c>
      <c r="K803" s="11">
        <v>0</v>
      </c>
      <c r="L803" s="4"/>
      <c r="M803" s="4"/>
      <c r="N803" s="11">
        <v>0</v>
      </c>
      <c r="O803" s="4"/>
      <c r="P803" s="4"/>
      <c r="Q803" s="11">
        <v>0</v>
      </c>
      <c r="R803" s="4"/>
      <c r="S803" s="12"/>
    </row>
    <row r="804" spans="1:19" x14ac:dyDescent="0.25">
      <c r="A804" s="9" t="s">
        <v>359</v>
      </c>
      <c r="B804" s="9" t="s">
        <v>359</v>
      </c>
      <c r="C804" s="4">
        <v>201001251</v>
      </c>
      <c r="D804" s="4"/>
      <c r="E804" s="4" t="str">
        <f>"025952010"</f>
        <v>025952010</v>
      </c>
      <c r="F804" s="10">
        <v>40186</v>
      </c>
      <c r="G804" s="11">
        <v>14938.14</v>
      </c>
      <c r="H804" s="11">
        <v>14938.14</v>
      </c>
      <c r="I804" s="4" t="s">
        <v>366</v>
      </c>
      <c r="J804" s="4" t="s">
        <v>367</v>
      </c>
      <c r="K804" s="11">
        <v>0</v>
      </c>
      <c r="L804" s="4"/>
      <c r="M804" s="4"/>
      <c r="N804" s="11">
        <v>0</v>
      </c>
      <c r="O804" s="4"/>
      <c r="P804" s="4"/>
      <c r="Q804" s="11">
        <v>0</v>
      </c>
      <c r="R804" s="4"/>
      <c r="S804" s="12"/>
    </row>
    <row r="805" spans="1:19" x14ac:dyDescent="0.25">
      <c r="A805" s="9" t="s">
        <v>359</v>
      </c>
      <c r="B805" s="9" t="s">
        <v>359</v>
      </c>
      <c r="C805" s="4">
        <v>201001256</v>
      </c>
      <c r="D805" s="4"/>
      <c r="E805" s="4" t="str">
        <f>"025912010"</f>
        <v>025912010</v>
      </c>
      <c r="F805" s="10">
        <v>40186</v>
      </c>
      <c r="G805" s="11">
        <v>6500</v>
      </c>
      <c r="H805" s="11">
        <v>6500</v>
      </c>
      <c r="I805" s="4" t="s">
        <v>366</v>
      </c>
      <c r="J805" s="4" t="s">
        <v>367</v>
      </c>
      <c r="K805" s="11">
        <v>0</v>
      </c>
      <c r="L805" s="4"/>
      <c r="M805" s="4"/>
      <c r="N805" s="11">
        <v>0</v>
      </c>
      <c r="O805" s="4"/>
      <c r="P805" s="4"/>
      <c r="Q805" s="11">
        <v>0</v>
      </c>
      <c r="R805" s="4"/>
      <c r="S805" s="12"/>
    </row>
    <row r="806" spans="1:19" x14ac:dyDescent="0.25">
      <c r="A806" s="9" t="s">
        <v>359</v>
      </c>
      <c r="B806" s="9" t="s">
        <v>359</v>
      </c>
      <c r="C806" s="4">
        <v>201001264</v>
      </c>
      <c r="D806" s="4"/>
      <c r="E806" s="4" t="str">
        <f>"025672010"</f>
        <v>025672010</v>
      </c>
      <c r="F806" s="10">
        <v>40183</v>
      </c>
      <c r="G806" s="11">
        <v>13500</v>
      </c>
      <c r="H806" s="11">
        <v>13500</v>
      </c>
      <c r="I806" s="4" t="s">
        <v>366</v>
      </c>
      <c r="J806" s="4" t="s">
        <v>367</v>
      </c>
      <c r="K806" s="11">
        <v>0</v>
      </c>
      <c r="L806" s="4"/>
      <c r="M806" s="4"/>
      <c r="N806" s="11">
        <v>0</v>
      </c>
      <c r="O806" s="4"/>
      <c r="P806" s="4"/>
      <c r="Q806" s="11">
        <v>0</v>
      </c>
      <c r="R806" s="4"/>
      <c r="S806" s="12"/>
    </row>
    <row r="807" spans="1:19" x14ac:dyDescent="0.25">
      <c r="A807" s="9" t="s">
        <v>359</v>
      </c>
      <c r="B807" s="9" t="s">
        <v>359</v>
      </c>
      <c r="C807" s="4">
        <v>201001322</v>
      </c>
      <c r="D807" s="4"/>
      <c r="E807" s="4" t="str">
        <f>"026032010"</f>
        <v>026032010</v>
      </c>
      <c r="F807" s="10">
        <v>40186</v>
      </c>
      <c r="G807" s="11">
        <v>4399.37</v>
      </c>
      <c r="H807" s="11">
        <v>4399.37</v>
      </c>
      <c r="I807" s="4" t="s">
        <v>366</v>
      </c>
      <c r="J807" s="4" t="s">
        <v>367</v>
      </c>
      <c r="K807" s="11">
        <v>0</v>
      </c>
      <c r="L807" s="4"/>
      <c r="M807" s="4"/>
      <c r="N807" s="11">
        <v>0</v>
      </c>
      <c r="O807" s="4"/>
      <c r="P807" s="4"/>
      <c r="Q807" s="11">
        <v>0</v>
      </c>
      <c r="R807" s="4"/>
      <c r="S807" s="12"/>
    </row>
    <row r="808" spans="1:19" x14ac:dyDescent="0.25">
      <c r="A808" s="9" t="s">
        <v>359</v>
      </c>
      <c r="B808" s="9" t="s">
        <v>359</v>
      </c>
      <c r="C808" s="4">
        <v>201001333</v>
      </c>
      <c r="D808" s="4"/>
      <c r="E808" s="4" t="str">
        <f>"027052010"</f>
        <v>027052010</v>
      </c>
      <c r="F808" s="10">
        <v>40185</v>
      </c>
      <c r="G808" s="11">
        <v>10000</v>
      </c>
      <c r="H808" s="11">
        <v>10000</v>
      </c>
      <c r="I808" s="4" t="s">
        <v>366</v>
      </c>
      <c r="J808" s="4" t="s">
        <v>367</v>
      </c>
      <c r="K808" s="11">
        <v>0</v>
      </c>
      <c r="L808" s="4"/>
      <c r="M808" s="4"/>
      <c r="N808" s="11">
        <v>0</v>
      </c>
      <c r="O808" s="4"/>
      <c r="P808" s="4"/>
      <c r="Q808" s="11">
        <v>0</v>
      </c>
      <c r="R808" s="4"/>
      <c r="S808" s="12"/>
    </row>
    <row r="809" spans="1:19" x14ac:dyDescent="0.25">
      <c r="A809" s="9" t="s">
        <v>359</v>
      </c>
      <c r="B809" s="9" t="s">
        <v>359</v>
      </c>
      <c r="C809" s="4">
        <v>201001335</v>
      </c>
      <c r="D809" s="4"/>
      <c r="E809" s="4" t="str">
        <f>"026072010"</f>
        <v>026072010</v>
      </c>
      <c r="F809" s="10">
        <v>40186</v>
      </c>
      <c r="G809" s="11">
        <v>2697</v>
      </c>
      <c r="H809" s="11">
        <v>2697</v>
      </c>
      <c r="I809" s="4" t="s">
        <v>366</v>
      </c>
      <c r="J809" s="4" t="s">
        <v>367</v>
      </c>
      <c r="K809" s="11">
        <v>0</v>
      </c>
      <c r="L809" s="4"/>
      <c r="M809" s="4"/>
      <c r="N809" s="11">
        <v>0</v>
      </c>
      <c r="O809" s="4"/>
      <c r="P809" s="4"/>
      <c r="Q809" s="11">
        <v>0</v>
      </c>
      <c r="R809" s="4"/>
      <c r="S809" s="12"/>
    </row>
    <row r="810" spans="1:19" x14ac:dyDescent="0.25">
      <c r="A810" s="9" t="s">
        <v>359</v>
      </c>
      <c r="B810" s="9" t="s">
        <v>359</v>
      </c>
      <c r="C810" s="4">
        <v>201001348</v>
      </c>
      <c r="D810" s="4"/>
      <c r="E810" s="4" t="str">
        <f>"026652010"</f>
        <v>026652010</v>
      </c>
      <c r="F810" s="10">
        <v>40185</v>
      </c>
      <c r="G810" s="11">
        <v>7455</v>
      </c>
      <c r="H810" s="11">
        <v>7455</v>
      </c>
      <c r="I810" s="4" t="s">
        <v>366</v>
      </c>
      <c r="J810" s="4" t="s">
        <v>367</v>
      </c>
      <c r="K810" s="11">
        <v>0</v>
      </c>
      <c r="L810" s="4"/>
      <c r="M810" s="4"/>
      <c r="N810" s="11">
        <v>0</v>
      </c>
      <c r="O810" s="4"/>
      <c r="P810" s="4"/>
      <c r="Q810" s="11">
        <v>0</v>
      </c>
      <c r="R810" s="4"/>
      <c r="S810" s="12"/>
    </row>
    <row r="811" spans="1:19" x14ac:dyDescent="0.25">
      <c r="A811" s="9" t="s">
        <v>359</v>
      </c>
      <c r="B811" s="9" t="s">
        <v>359</v>
      </c>
      <c r="C811" s="4">
        <v>201001350</v>
      </c>
      <c r="D811" s="4" t="s">
        <v>1851</v>
      </c>
      <c r="E811" s="4" t="str">
        <f>"027232010"</f>
        <v>027232010</v>
      </c>
      <c r="F811" s="10">
        <v>40185</v>
      </c>
      <c r="G811" s="11">
        <v>5500</v>
      </c>
      <c r="H811" s="11">
        <v>5500</v>
      </c>
      <c r="I811" s="4" t="s">
        <v>23</v>
      </c>
      <c r="J811" s="4" t="s">
        <v>24</v>
      </c>
      <c r="K811" s="11">
        <v>0</v>
      </c>
      <c r="L811" s="4"/>
      <c r="M811" s="4"/>
      <c r="N811" s="11">
        <v>0</v>
      </c>
      <c r="O811" s="4"/>
      <c r="P811" s="4"/>
      <c r="Q811" s="11">
        <v>0</v>
      </c>
      <c r="R811" s="4"/>
      <c r="S811" s="12"/>
    </row>
    <row r="812" spans="1:19" x14ac:dyDescent="0.25">
      <c r="A812" s="9" t="s">
        <v>359</v>
      </c>
      <c r="B812" s="9" t="s">
        <v>359</v>
      </c>
      <c r="C812" s="4">
        <v>201001353</v>
      </c>
      <c r="D812" s="4"/>
      <c r="E812" s="4" t="str">
        <f>"027012010"</f>
        <v>027012010</v>
      </c>
      <c r="F812" s="10">
        <v>40185</v>
      </c>
      <c r="G812" s="11">
        <v>2549.8000000000002</v>
      </c>
      <c r="H812" s="11">
        <v>2549.8000000000002</v>
      </c>
      <c r="I812" s="4" t="s">
        <v>366</v>
      </c>
      <c r="J812" s="4" t="s">
        <v>367</v>
      </c>
      <c r="K812" s="11">
        <v>0</v>
      </c>
      <c r="L812" s="4"/>
      <c r="M812" s="4"/>
      <c r="N812" s="11">
        <v>0</v>
      </c>
      <c r="O812" s="4"/>
      <c r="P812" s="4"/>
      <c r="Q812" s="11">
        <v>0</v>
      </c>
      <c r="R812" s="4"/>
      <c r="S812" s="12"/>
    </row>
    <row r="813" spans="1:19" x14ac:dyDescent="0.25">
      <c r="A813" s="9" t="s">
        <v>359</v>
      </c>
      <c r="B813" s="9" t="s">
        <v>359</v>
      </c>
      <c r="C813" s="4">
        <v>201001356</v>
      </c>
      <c r="D813" s="4"/>
      <c r="E813" s="4" t="str">
        <f>"027092010"</f>
        <v>027092010</v>
      </c>
      <c r="F813" s="10">
        <v>40185</v>
      </c>
      <c r="G813" s="11">
        <v>4042.21</v>
      </c>
      <c r="H813" s="11">
        <v>4042.21</v>
      </c>
      <c r="I813" s="4" t="s">
        <v>366</v>
      </c>
      <c r="J813" s="4" t="s">
        <v>367</v>
      </c>
      <c r="K813" s="11">
        <v>0</v>
      </c>
      <c r="L813" s="4"/>
      <c r="M813" s="4"/>
      <c r="N813" s="11">
        <v>0</v>
      </c>
      <c r="O813" s="4"/>
      <c r="P813" s="4"/>
      <c r="Q813" s="11">
        <v>0</v>
      </c>
      <c r="R813" s="4"/>
      <c r="S813" s="12"/>
    </row>
    <row r="814" spans="1:19" x14ac:dyDescent="0.25">
      <c r="A814" s="9" t="s">
        <v>359</v>
      </c>
      <c r="B814" s="9" t="s">
        <v>359</v>
      </c>
      <c r="C814" s="4">
        <v>201001360</v>
      </c>
      <c r="D814" s="4"/>
      <c r="E814" s="4" t="str">
        <f>"027072010"</f>
        <v>027072010</v>
      </c>
      <c r="F814" s="10">
        <v>40185</v>
      </c>
      <c r="G814" s="11">
        <v>5452.26</v>
      </c>
      <c r="H814" s="11">
        <v>5452.26</v>
      </c>
      <c r="I814" s="4" t="s">
        <v>366</v>
      </c>
      <c r="J814" s="4" t="s">
        <v>367</v>
      </c>
      <c r="K814" s="11">
        <v>0</v>
      </c>
      <c r="L814" s="4"/>
      <c r="M814" s="4"/>
      <c r="N814" s="11">
        <v>0</v>
      </c>
      <c r="O814" s="4"/>
      <c r="P814" s="4"/>
      <c r="Q814" s="11">
        <v>0</v>
      </c>
      <c r="R814" s="4"/>
      <c r="S814" s="12"/>
    </row>
    <row r="815" spans="1:19" x14ac:dyDescent="0.25">
      <c r="A815" s="9" t="s">
        <v>359</v>
      </c>
      <c r="B815" s="9" t="s">
        <v>359</v>
      </c>
      <c r="C815" s="4">
        <v>201001372</v>
      </c>
      <c r="D815" s="4"/>
      <c r="E815" s="4" t="str">
        <f>"026692010"</f>
        <v>026692010</v>
      </c>
      <c r="F815" s="10">
        <v>40185</v>
      </c>
      <c r="G815" s="11">
        <v>2916.2</v>
      </c>
      <c r="H815" s="11">
        <v>2916.2</v>
      </c>
      <c r="I815" s="4" t="s">
        <v>366</v>
      </c>
      <c r="J815" s="4" t="s">
        <v>367</v>
      </c>
      <c r="K815" s="11">
        <v>0</v>
      </c>
      <c r="L815" s="4"/>
      <c r="M815" s="4"/>
      <c r="N815" s="11">
        <v>0</v>
      </c>
      <c r="O815" s="4"/>
      <c r="P815" s="4"/>
      <c r="Q815" s="11">
        <v>0</v>
      </c>
      <c r="R815" s="4"/>
      <c r="S815" s="12"/>
    </row>
    <row r="816" spans="1:19" x14ac:dyDescent="0.25">
      <c r="A816" s="9" t="s">
        <v>359</v>
      </c>
      <c r="B816" s="9" t="s">
        <v>359</v>
      </c>
      <c r="C816" s="4">
        <v>201001376</v>
      </c>
      <c r="D816" s="4"/>
      <c r="E816" s="4" t="str">
        <f>"026732010"</f>
        <v>026732010</v>
      </c>
      <c r="F816" s="10">
        <v>40185</v>
      </c>
      <c r="G816" s="11">
        <v>3829.11</v>
      </c>
      <c r="H816" s="11">
        <v>3829.11</v>
      </c>
      <c r="I816" s="4" t="s">
        <v>366</v>
      </c>
      <c r="J816" s="4" t="s">
        <v>367</v>
      </c>
      <c r="K816" s="11">
        <v>0</v>
      </c>
      <c r="L816" s="4"/>
      <c r="M816" s="4"/>
      <c r="N816" s="11">
        <v>0</v>
      </c>
      <c r="O816" s="4"/>
      <c r="P816" s="4"/>
      <c r="Q816" s="11">
        <v>0</v>
      </c>
      <c r="R816" s="4"/>
      <c r="S816" s="12"/>
    </row>
    <row r="817" spans="1:19" x14ac:dyDescent="0.25">
      <c r="A817" s="9" t="s">
        <v>359</v>
      </c>
      <c r="B817" s="9" t="s">
        <v>359</v>
      </c>
      <c r="C817" s="4">
        <v>201001378</v>
      </c>
      <c r="D817" s="4"/>
      <c r="E817" s="4" t="str">
        <f>"026712010"</f>
        <v>026712010</v>
      </c>
      <c r="F817" s="10">
        <v>40185</v>
      </c>
      <c r="G817" s="11">
        <v>3176.87</v>
      </c>
      <c r="H817" s="11">
        <v>3176.87</v>
      </c>
      <c r="I817" s="4" t="s">
        <v>366</v>
      </c>
      <c r="J817" s="4" t="s">
        <v>367</v>
      </c>
      <c r="K817" s="11">
        <v>0</v>
      </c>
      <c r="L817" s="4"/>
      <c r="M817" s="4"/>
      <c r="N817" s="11">
        <v>0</v>
      </c>
      <c r="O817" s="4"/>
      <c r="P817" s="4"/>
      <c r="Q817" s="11">
        <v>0</v>
      </c>
      <c r="R817" s="4"/>
      <c r="S817" s="12"/>
    </row>
    <row r="818" spans="1:19" x14ac:dyDescent="0.25">
      <c r="A818" s="9" t="s">
        <v>359</v>
      </c>
      <c r="B818" s="9" t="s">
        <v>359</v>
      </c>
      <c r="C818" s="4">
        <v>201001471</v>
      </c>
      <c r="D818" s="4"/>
      <c r="E818" s="4" t="str">
        <f>"030882010"</f>
        <v>030882010</v>
      </c>
      <c r="F818" s="10">
        <v>40193</v>
      </c>
      <c r="G818" s="11">
        <v>12775</v>
      </c>
      <c r="H818" s="11">
        <v>12775</v>
      </c>
      <c r="I818" s="4" t="s">
        <v>366</v>
      </c>
      <c r="J818" s="4" t="s">
        <v>367</v>
      </c>
      <c r="K818" s="11">
        <v>0</v>
      </c>
      <c r="L818" s="4"/>
      <c r="M818" s="4"/>
      <c r="N818" s="11">
        <v>0</v>
      </c>
      <c r="O818" s="4"/>
      <c r="P818" s="4"/>
      <c r="Q818" s="11">
        <v>0</v>
      </c>
      <c r="R818" s="4"/>
      <c r="S818" s="12"/>
    </row>
    <row r="819" spans="1:19" x14ac:dyDescent="0.25">
      <c r="A819" s="9" t="s">
        <v>359</v>
      </c>
      <c r="B819" s="9" t="s">
        <v>359</v>
      </c>
      <c r="C819" s="4">
        <v>201001533</v>
      </c>
      <c r="D819" s="4"/>
      <c r="E819" s="4" t="str">
        <f>"031182010"</f>
        <v>031182010</v>
      </c>
      <c r="F819" s="10">
        <v>40197</v>
      </c>
      <c r="G819" s="11">
        <v>5359.47</v>
      </c>
      <c r="H819" s="11">
        <v>5359.47</v>
      </c>
      <c r="I819" s="4" t="s">
        <v>366</v>
      </c>
      <c r="J819" s="4" t="s">
        <v>367</v>
      </c>
      <c r="K819" s="11">
        <v>0</v>
      </c>
      <c r="L819" s="4"/>
      <c r="M819" s="4"/>
      <c r="N819" s="11">
        <v>0</v>
      </c>
      <c r="O819" s="4"/>
      <c r="P819" s="4"/>
      <c r="Q819" s="11">
        <v>0</v>
      </c>
      <c r="R819" s="4"/>
      <c r="S819" s="12"/>
    </row>
    <row r="820" spans="1:19" x14ac:dyDescent="0.25">
      <c r="A820" s="9" t="s">
        <v>359</v>
      </c>
      <c r="B820" s="9" t="s">
        <v>359</v>
      </c>
      <c r="C820" s="4">
        <v>201001546</v>
      </c>
      <c r="D820" s="4"/>
      <c r="E820" s="4" t="str">
        <f>"031582010"</f>
        <v>031582010</v>
      </c>
      <c r="F820" s="10">
        <v>40199</v>
      </c>
      <c r="G820" s="11">
        <v>2976.88</v>
      </c>
      <c r="H820" s="11">
        <v>2976.88</v>
      </c>
      <c r="I820" s="4" t="s">
        <v>366</v>
      </c>
      <c r="J820" s="4" t="s">
        <v>367</v>
      </c>
      <c r="K820" s="11">
        <v>0</v>
      </c>
      <c r="L820" s="4"/>
      <c r="M820" s="4"/>
      <c r="N820" s="11">
        <v>0</v>
      </c>
      <c r="O820" s="4"/>
      <c r="P820" s="4"/>
      <c r="Q820" s="11">
        <v>0</v>
      </c>
      <c r="R820" s="4"/>
      <c r="S820" s="12"/>
    </row>
    <row r="821" spans="1:19" x14ac:dyDescent="0.25">
      <c r="A821" s="9" t="s">
        <v>359</v>
      </c>
      <c r="B821" s="9" t="s">
        <v>359</v>
      </c>
      <c r="C821" s="4">
        <v>201001549</v>
      </c>
      <c r="D821" s="4"/>
      <c r="E821" s="4" t="str">
        <f>"032062010"</f>
        <v>032062010</v>
      </c>
      <c r="F821" s="10">
        <v>40200</v>
      </c>
      <c r="G821" s="11">
        <v>3245.88</v>
      </c>
      <c r="H821" s="11">
        <v>3245.88</v>
      </c>
      <c r="I821" s="4" t="s">
        <v>366</v>
      </c>
      <c r="J821" s="4" t="s">
        <v>367</v>
      </c>
      <c r="K821" s="11">
        <v>0</v>
      </c>
      <c r="L821" s="4"/>
      <c r="M821" s="4"/>
      <c r="N821" s="11">
        <v>0</v>
      </c>
      <c r="O821" s="4"/>
      <c r="P821" s="4"/>
      <c r="Q821" s="11">
        <v>0</v>
      </c>
      <c r="R821" s="4"/>
      <c r="S821" s="12"/>
    </row>
    <row r="822" spans="1:19" x14ac:dyDescent="0.25">
      <c r="A822" s="9" t="s">
        <v>359</v>
      </c>
      <c r="B822" s="9" t="s">
        <v>359</v>
      </c>
      <c r="C822" s="4">
        <v>201001563</v>
      </c>
      <c r="D822" s="4"/>
      <c r="E822" s="4" t="str">
        <f>"033442010"</f>
        <v>033442010</v>
      </c>
      <c r="F822" s="10">
        <v>40203</v>
      </c>
      <c r="G822" s="11">
        <v>7247.9</v>
      </c>
      <c r="H822" s="11">
        <v>7247.9</v>
      </c>
      <c r="I822" s="4" t="s">
        <v>366</v>
      </c>
      <c r="J822" s="4" t="s">
        <v>367</v>
      </c>
      <c r="K822" s="11">
        <v>0</v>
      </c>
      <c r="L822" s="4"/>
      <c r="M822" s="4"/>
      <c r="N822" s="11">
        <v>0</v>
      </c>
      <c r="O822" s="4"/>
      <c r="P822" s="4"/>
      <c r="Q822" s="11">
        <v>0</v>
      </c>
      <c r="R822" s="4"/>
      <c r="S822" s="12"/>
    </row>
    <row r="823" spans="1:19" x14ac:dyDescent="0.25">
      <c r="A823" s="9" t="s">
        <v>359</v>
      </c>
      <c r="B823" s="9" t="s">
        <v>359</v>
      </c>
      <c r="C823" s="4">
        <v>201001572</v>
      </c>
      <c r="D823" s="4"/>
      <c r="E823" s="4" t="str">
        <f>"033262010"</f>
        <v>033262010</v>
      </c>
      <c r="F823" s="10">
        <v>40203</v>
      </c>
      <c r="G823" s="11">
        <v>3948.78</v>
      </c>
      <c r="H823" s="11">
        <v>3948.78</v>
      </c>
      <c r="I823" s="4" t="s">
        <v>366</v>
      </c>
      <c r="J823" s="4" t="s">
        <v>367</v>
      </c>
      <c r="K823" s="11">
        <v>0</v>
      </c>
      <c r="L823" s="4"/>
      <c r="M823" s="4"/>
      <c r="N823" s="11">
        <v>0</v>
      </c>
      <c r="O823" s="4"/>
      <c r="P823" s="4"/>
      <c r="Q823" s="11">
        <v>0</v>
      </c>
      <c r="R823" s="4"/>
      <c r="S823" s="12"/>
    </row>
    <row r="824" spans="1:19" x14ac:dyDescent="0.25">
      <c r="A824" s="9" t="s">
        <v>359</v>
      </c>
      <c r="B824" s="9" t="s">
        <v>359</v>
      </c>
      <c r="C824" s="4">
        <v>201001592</v>
      </c>
      <c r="D824" s="4" t="s">
        <v>1852</v>
      </c>
      <c r="E824" s="4" t="str">
        <f>"033322010"</f>
        <v>033322010</v>
      </c>
      <c r="F824" s="10">
        <v>40203</v>
      </c>
      <c r="G824" s="11">
        <v>5500</v>
      </c>
      <c r="H824" s="11">
        <v>5500</v>
      </c>
      <c r="I824" s="4" t="s">
        <v>366</v>
      </c>
      <c r="J824" s="4" t="s">
        <v>367</v>
      </c>
      <c r="K824" s="11">
        <v>0</v>
      </c>
      <c r="L824" s="4"/>
      <c r="M824" s="4"/>
      <c r="N824" s="11">
        <v>0</v>
      </c>
      <c r="O824" s="4"/>
      <c r="P824" s="4"/>
      <c r="Q824" s="11">
        <v>0</v>
      </c>
      <c r="R824" s="4"/>
      <c r="S824" s="12"/>
    </row>
    <row r="825" spans="1:19" x14ac:dyDescent="0.25">
      <c r="A825" s="9" t="s">
        <v>359</v>
      </c>
      <c r="B825" s="9" t="s">
        <v>359</v>
      </c>
      <c r="C825" s="4">
        <v>201001611</v>
      </c>
      <c r="D825" s="4"/>
      <c r="E825" s="4" t="str">
        <f>"033642010"</f>
        <v>033642010</v>
      </c>
      <c r="F825" s="10">
        <v>40205</v>
      </c>
      <c r="G825" s="11">
        <v>2873.01</v>
      </c>
      <c r="H825" s="11">
        <v>2873.01</v>
      </c>
      <c r="I825" s="4" t="s">
        <v>366</v>
      </c>
      <c r="J825" s="4" t="s">
        <v>367</v>
      </c>
      <c r="K825" s="11">
        <v>0</v>
      </c>
      <c r="L825" s="4"/>
      <c r="M825" s="4"/>
      <c r="N825" s="11">
        <v>0</v>
      </c>
      <c r="O825" s="4"/>
      <c r="P825" s="4"/>
      <c r="Q825" s="11">
        <v>0</v>
      </c>
      <c r="R825" s="4"/>
      <c r="S825" s="12"/>
    </row>
    <row r="826" spans="1:19" x14ac:dyDescent="0.25">
      <c r="A826" s="9" t="s">
        <v>359</v>
      </c>
      <c r="B826" s="9" t="s">
        <v>359</v>
      </c>
      <c r="C826" s="4">
        <v>201001618</v>
      </c>
      <c r="D826" s="4" t="s">
        <v>1853</v>
      </c>
      <c r="E826" s="4" t="str">
        <f>"034022010"</f>
        <v>034022010</v>
      </c>
      <c r="F826" s="10">
        <v>40205</v>
      </c>
      <c r="G826" s="11">
        <v>2553.98</v>
      </c>
      <c r="H826" s="11">
        <v>2553.98</v>
      </c>
      <c r="I826" s="4" t="s">
        <v>366</v>
      </c>
      <c r="J826" s="4" t="s">
        <v>367</v>
      </c>
      <c r="K826" s="11">
        <v>0</v>
      </c>
      <c r="L826" s="4"/>
      <c r="M826" s="4"/>
      <c r="N826" s="11">
        <v>0</v>
      </c>
      <c r="O826" s="4"/>
      <c r="P826" s="4"/>
      <c r="Q826" s="11">
        <v>0</v>
      </c>
      <c r="R826" s="4"/>
      <c r="S826" s="12"/>
    </row>
    <row r="827" spans="1:19" x14ac:dyDescent="0.25">
      <c r="A827" s="9" t="s">
        <v>359</v>
      </c>
      <c r="B827" s="9" t="s">
        <v>359</v>
      </c>
      <c r="C827" s="4">
        <v>201001644</v>
      </c>
      <c r="D827" s="4"/>
      <c r="E827" s="4" t="str">
        <f>"033002010"</f>
        <v>033002010</v>
      </c>
      <c r="F827" s="10">
        <v>40200</v>
      </c>
      <c r="G827" s="11">
        <v>4667.91</v>
      </c>
      <c r="H827" s="11">
        <v>4667.91</v>
      </c>
      <c r="I827" s="4" t="s">
        <v>366</v>
      </c>
      <c r="J827" s="4" t="s">
        <v>367</v>
      </c>
      <c r="K827" s="11">
        <v>0</v>
      </c>
      <c r="L827" s="4"/>
      <c r="M827" s="4"/>
      <c r="N827" s="11">
        <v>0</v>
      </c>
      <c r="O827" s="4"/>
      <c r="P827" s="4"/>
      <c r="Q827" s="11">
        <v>0</v>
      </c>
      <c r="R827" s="4"/>
      <c r="S827" s="12"/>
    </row>
    <row r="828" spans="1:19" x14ac:dyDescent="0.25">
      <c r="A828" s="9" t="s">
        <v>359</v>
      </c>
      <c r="B828" s="9" t="s">
        <v>359</v>
      </c>
      <c r="C828" s="4">
        <v>201001683</v>
      </c>
      <c r="D828" s="4"/>
      <c r="E828" s="4" t="str">
        <f>"033862010"</f>
        <v>033862010</v>
      </c>
      <c r="F828" s="10">
        <v>40205</v>
      </c>
      <c r="G828" s="11">
        <v>2606</v>
      </c>
      <c r="H828" s="11">
        <v>2606</v>
      </c>
      <c r="I828" s="4" t="s">
        <v>366</v>
      </c>
      <c r="J828" s="4" t="s">
        <v>367</v>
      </c>
      <c r="K828" s="11">
        <v>0</v>
      </c>
      <c r="L828" s="4"/>
      <c r="M828" s="4"/>
      <c r="N828" s="11">
        <v>0</v>
      </c>
      <c r="O828" s="4"/>
      <c r="P828" s="4"/>
      <c r="Q828" s="11">
        <v>0</v>
      </c>
      <c r="R828" s="4"/>
      <c r="S828" s="12"/>
    </row>
    <row r="829" spans="1:19" x14ac:dyDescent="0.25">
      <c r="A829" s="9" t="s">
        <v>359</v>
      </c>
      <c r="B829" s="9" t="s">
        <v>359</v>
      </c>
      <c r="C829" s="4">
        <v>201001684</v>
      </c>
      <c r="D829" s="4"/>
      <c r="E829" s="4" t="str">
        <f>"033882010"</f>
        <v>033882010</v>
      </c>
      <c r="F829" s="10">
        <v>40205</v>
      </c>
      <c r="G829" s="11">
        <v>4671.91</v>
      </c>
      <c r="H829" s="11">
        <v>4671.91</v>
      </c>
      <c r="I829" s="4" t="s">
        <v>366</v>
      </c>
      <c r="J829" s="4" t="s">
        <v>367</v>
      </c>
      <c r="K829" s="11">
        <v>0</v>
      </c>
      <c r="L829" s="4"/>
      <c r="M829" s="4"/>
      <c r="N829" s="11">
        <v>0</v>
      </c>
      <c r="O829" s="4"/>
      <c r="P829" s="4"/>
      <c r="Q829" s="11">
        <v>0</v>
      </c>
      <c r="R829" s="4"/>
      <c r="S829" s="12"/>
    </row>
    <row r="830" spans="1:19" x14ac:dyDescent="0.25">
      <c r="A830" s="9" t="s">
        <v>359</v>
      </c>
      <c r="B830" s="9" t="s">
        <v>359</v>
      </c>
      <c r="C830" s="4">
        <v>201001686</v>
      </c>
      <c r="D830" s="4"/>
      <c r="E830" s="4" t="str">
        <f>"033902010"</f>
        <v>033902010</v>
      </c>
      <c r="F830" s="10">
        <v>40205</v>
      </c>
      <c r="G830" s="11">
        <v>3874.4</v>
      </c>
      <c r="H830" s="11">
        <v>3874.4</v>
      </c>
      <c r="I830" s="4" t="s">
        <v>366</v>
      </c>
      <c r="J830" s="4" t="s">
        <v>367</v>
      </c>
      <c r="K830" s="11">
        <v>0</v>
      </c>
      <c r="L830" s="4"/>
      <c r="M830" s="4"/>
      <c r="N830" s="11">
        <v>0</v>
      </c>
      <c r="O830" s="4"/>
      <c r="P830" s="4"/>
      <c r="Q830" s="11">
        <v>0</v>
      </c>
      <c r="R830" s="4"/>
      <c r="S830" s="12"/>
    </row>
    <row r="831" spans="1:19" x14ac:dyDescent="0.25">
      <c r="A831" s="9" t="s">
        <v>359</v>
      </c>
      <c r="B831" s="9" t="s">
        <v>359</v>
      </c>
      <c r="C831" s="4">
        <v>201001687</v>
      </c>
      <c r="D831" s="4"/>
      <c r="E831" s="4" t="str">
        <f>"035462010"</f>
        <v>035462010</v>
      </c>
      <c r="F831" s="10">
        <v>40213</v>
      </c>
      <c r="G831" s="11">
        <v>4000</v>
      </c>
      <c r="H831" s="11">
        <v>4000</v>
      </c>
      <c r="I831" s="4" t="s">
        <v>366</v>
      </c>
      <c r="J831" s="4" t="s">
        <v>367</v>
      </c>
      <c r="K831" s="11">
        <v>0</v>
      </c>
      <c r="L831" s="4"/>
      <c r="M831" s="4"/>
      <c r="N831" s="11">
        <v>0</v>
      </c>
      <c r="O831" s="4"/>
      <c r="P831" s="4"/>
      <c r="Q831" s="11">
        <v>0</v>
      </c>
      <c r="R831" s="4"/>
      <c r="S831" s="12"/>
    </row>
    <row r="832" spans="1:19" x14ac:dyDescent="0.25">
      <c r="A832" s="9" t="s">
        <v>359</v>
      </c>
      <c r="B832" s="9" t="s">
        <v>359</v>
      </c>
      <c r="C832" s="4">
        <v>201001708</v>
      </c>
      <c r="D832" s="4"/>
      <c r="E832" s="4" t="str">
        <f>"035142010"</f>
        <v>035142010</v>
      </c>
      <c r="F832" s="10">
        <v>40213</v>
      </c>
      <c r="G832" s="11">
        <v>5000</v>
      </c>
      <c r="H832" s="11">
        <v>5000</v>
      </c>
      <c r="I832" s="4" t="s">
        <v>366</v>
      </c>
      <c r="J832" s="4" t="s">
        <v>367</v>
      </c>
      <c r="K832" s="11">
        <v>0</v>
      </c>
      <c r="L832" s="4"/>
      <c r="M832" s="4"/>
      <c r="N832" s="11">
        <v>0</v>
      </c>
      <c r="O832" s="4"/>
      <c r="P832" s="4"/>
      <c r="Q832" s="11">
        <v>0</v>
      </c>
      <c r="R832" s="4"/>
      <c r="S832" s="12"/>
    </row>
    <row r="833" spans="1:19" x14ac:dyDescent="0.25">
      <c r="A833" s="9" t="s">
        <v>359</v>
      </c>
      <c r="B833" s="9" t="s">
        <v>359</v>
      </c>
      <c r="C833" s="4">
        <v>201001738</v>
      </c>
      <c r="D833" s="4"/>
      <c r="E833" s="4" t="str">
        <f>"034982010"</f>
        <v>034982010</v>
      </c>
      <c r="F833" s="10">
        <v>40212</v>
      </c>
      <c r="G833" s="11">
        <v>5907.38</v>
      </c>
      <c r="H833" s="11">
        <v>5907.38</v>
      </c>
      <c r="I833" s="4" t="s">
        <v>366</v>
      </c>
      <c r="J833" s="4" t="s">
        <v>367</v>
      </c>
      <c r="K833" s="11">
        <v>0</v>
      </c>
      <c r="L833" s="4"/>
      <c r="M833" s="4"/>
      <c r="N833" s="11">
        <v>0</v>
      </c>
      <c r="O833" s="4"/>
      <c r="P833" s="4"/>
      <c r="Q833" s="11">
        <v>0</v>
      </c>
      <c r="R833" s="4"/>
      <c r="S833" s="12"/>
    </row>
    <row r="834" spans="1:19" x14ac:dyDescent="0.25">
      <c r="A834" s="9" t="s">
        <v>359</v>
      </c>
      <c r="B834" s="9" t="s">
        <v>359</v>
      </c>
      <c r="C834" s="4">
        <v>201001740</v>
      </c>
      <c r="D834" s="4"/>
      <c r="E834" s="4" t="str">
        <f>"035942010"</f>
        <v>035942010</v>
      </c>
      <c r="F834" s="10">
        <v>40213</v>
      </c>
      <c r="G834" s="11">
        <v>2621.15</v>
      </c>
      <c r="H834" s="11">
        <v>2621.15</v>
      </c>
      <c r="I834" s="4" t="s">
        <v>366</v>
      </c>
      <c r="J834" s="4" t="s">
        <v>367</v>
      </c>
      <c r="K834" s="11">
        <v>0</v>
      </c>
      <c r="L834" s="4"/>
      <c r="M834" s="4"/>
      <c r="N834" s="11">
        <v>0</v>
      </c>
      <c r="O834" s="4"/>
      <c r="P834" s="4"/>
      <c r="Q834" s="11">
        <v>0</v>
      </c>
      <c r="R834" s="4"/>
      <c r="S834" s="12"/>
    </row>
    <row r="835" spans="1:19" x14ac:dyDescent="0.25">
      <c r="A835" s="9" t="s">
        <v>359</v>
      </c>
      <c r="B835" s="9" t="s">
        <v>359</v>
      </c>
      <c r="C835" s="4">
        <v>201001741</v>
      </c>
      <c r="D835" s="4"/>
      <c r="E835" s="4" t="str">
        <f>"036142010"</f>
        <v>036142010</v>
      </c>
      <c r="F835" s="10">
        <v>40213</v>
      </c>
      <c r="G835" s="11">
        <v>11841</v>
      </c>
      <c r="H835" s="11">
        <v>11841</v>
      </c>
      <c r="I835" s="4" t="s">
        <v>366</v>
      </c>
      <c r="J835" s="4" t="s">
        <v>367</v>
      </c>
      <c r="K835" s="11">
        <v>0</v>
      </c>
      <c r="L835" s="4"/>
      <c r="M835" s="4"/>
      <c r="N835" s="11">
        <v>0</v>
      </c>
      <c r="O835" s="4"/>
      <c r="P835" s="4"/>
      <c r="Q835" s="11">
        <v>0</v>
      </c>
      <c r="R835" s="4"/>
      <c r="S835" s="12"/>
    </row>
    <row r="836" spans="1:19" x14ac:dyDescent="0.25">
      <c r="A836" s="9" t="s">
        <v>359</v>
      </c>
      <c r="B836" s="9" t="s">
        <v>359</v>
      </c>
      <c r="C836" s="4">
        <v>201001772</v>
      </c>
      <c r="D836" s="4"/>
      <c r="E836" s="4" t="str">
        <f>"036102010"</f>
        <v>036102010</v>
      </c>
      <c r="F836" s="10">
        <v>40213</v>
      </c>
      <c r="G836" s="11">
        <v>5587.85</v>
      </c>
      <c r="H836" s="11">
        <v>5587.85</v>
      </c>
      <c r="I836" s="4" t="s">
        <v>366</v>
      </c>
      <c r="J836" s="4" t="s">
        <v>367</v>
      </c>
      <c r="K836" s="11">
        <v>0</v>
      </c>
      <c r="L836" s="4"/>
      <c r="M836" s="4"/>
      <c r="N836" s="11">
        <v>0</v>
      </c>
      <c r="O836" s="4"/>
      <c r="P836" s="4"/>
      <c r="Q836" s="11">
        <v>0</v>
      </c>
      <c r="R836" s="4"/>
      <c r="S836" s="12"/>
    </row>
    <row r="837" spans="1:19" x14ac:dyDescent="0.25">
      <c r="A837" s="9" t="s">
        <v>359</v>
      </c>
      <c r="B837" s="9" t="s">
        <v>359</v>
      </c>
      <c r="C837" s="4">
        <v>201001776</v>
      </c>
      <c r="D837" s="4"/>
      <c r="E837" s="4" t="str">
        <f>"036782010"</f>
        <v>036782010</v>
      </c>
      <c r="F837" s="10">
        <v>40213</v>
      </c>
      <c r="G837" s="11">
        <v>4523.3500000000004</v>
      </c>
      <c r="H837" s="11">
        <v>4523.3500000000004</v>
      </c>
      <c r="I837" s="4" t="s">
        <v>366</v>
      </c>
      <c r="J837" s="4" t="s">
        <v>367</v>
      </c>
      <c r="K837" s="11">
        <v>0</v>
      </c>
      <c r="L837" s="4"/>
      <c r="M837" s="4"/>
      <c r="N837" s="11">
        <v>0</v>
      </c>
      <c r="O837" s="4"/>
      <c r="P837" s="4"/>
      <c r="Q837" s="11">
        <v>0</v>
      </c>
      <c r="R837" s="4"/>
      <c r="S837" s="12"/>
    </row>
    <row r="838" spans="1:19" x14ac:dyDescent="0.25">
      <c r="A838" s="9" t="s">
        <v>359</v>
      </c>
      <c r="B838" s="9" t="s">
        <v>359</v>
      </c>
      <c r="C838" s="4">
        <v>201001844</v>
      </c>
      <c r="D838" s="4"/>
      <c r="E838" s="4" t="str">
        <f>"036822010"</f>
        <v>036822010</v>
      </c>
      <c r="F838" s="10">
        <v>40213</v>
      </c>
      <c r="G838" s="11">
        <v>15000</v>
      </c>
      <c r="H838" s="11">
        <v>15000</v>
      </c>
      <c r="I838" s="4" t="s">
        <v>366</v>
      </c>
      <c r="J838" s="4" t="s">
        <v>367</v>
      </c>
      <c r="K838" s="11">
        <v>0</v>
      </c>
      <c r="L838" s="4"/>
      <c r="M838" s="4"/>
      <c r="N838" s="11">
        <v>0</v>
      </c>
      <c r="O838" s="4"/>
      <c r="P838" s="4"/>
      <c r="Q838" s="11">
        <v>0</v>
      </c>
      <c r="R838" s="4"/>
      <c r="S838" s="12"/>
    </row>
    <row r="839" spans="1:19" x14ac:dyDescent="0.25">
      <c r="A839" s="9" t="s">
        <v>359</v>
      </c>
      <c r="B839" s="9" t="s">
        <v>359</v>
      </c>
      <c r="C839" s="4">
        <v>201001847</v>
      </c>
      <c r="D839" s="4"/>
      <c r="E839" s="4" t="str">
        <f>"038272010"</f>
        <v>038272010</v>
      </c>
      <c r="F839" s="10">
        <v>40227</v>
      </c>
      <c r="G839" s="11">
        <v>4820.71</v>
      </c>
      <c r="H839" s="11">
        <v>4820.71</v>
      </c>
      <c r="I839" s="4" t="s">
        <v>366</v>
      </c>
      <c r="J839" s="4" t="s">
        <v>367</v>
      </c>
      <c r="K839" s="11">
        <v>0</v>
      </c>
      <c r="L839" s="4"/>
      <c r="M839" s="4"/>
      <c r="N839" s="11">
        <v>0</v>
      </c>
      <c r="O839" s="4"/>
      <c r="P839" s="4"/>
      <c r="Q839" s="11">
        <v>0</v>
      </c>
      <c r="R839" s="4"/>
      <c r="S839" s="12"/>
    </row>
    <row r="840" spans="1:19" x14ac:dyDescent="0.25">
      <c r="A840" s="9" t="s">
        <v>359</v>
      </c>
      <c r="B840" s="9" t="s">
        <v>359</v>
      </c>
      <c r="C840" s="4">
        <v>201001855</v>
      </c>
      <c r="D840" s="4"/>
      <c r="E840" s="4" t="str">
        <f>"038292010"</f>
        <v>038292010</v>
      </c>
      <c r="F840" s="10">
        <v>40227</v>
      </c>
      <c r="G840" s="11">
        <v>7547.82</v>
      </c>
      <c r="H840" s="11">
        <v>7547.82</v>
      </c>
      <c r="I840" s="4" t="s">
        <v>366</v>
      </c>
      <c r="J840" s="4" t="s">
        <v>367</v>
      </c>
      <c r="K840" s="11">
        <v>0</v>
      </c>
      <c r="L840" s="4"/>
      <c r="M840" s="4"/>
      <c r="N840" s="11">
        <v>0</v>
      </c>
      <c r="O840" s="4"/>
      <c r="P840" s="4"/>
      <c r="Q840" s="11">
        <v>0</v>
      </c>
      <c r="R840" s="4"/>
      <c r="S840" s="12"/>
    </row>
    <row r="841" spans="1:19" x14ac:dyDescent="0.25">
      <c r="A841" s="9" t="s">
        <v>359</v>
      </c>
      <c r="B841" s="9" t="s">
        <v>359</v>
      </c>
      <c r="C841" s="4">
        <v>201001857</v>
      </c>
      <c r="D841" s="4"/>
      <c r="E841" s="4" t="str">
        <f>"038192010"</f>
        <v>038192010</v>
      </c>
      <c r="F841" s="10">
        <v>40227</v>
      </c>
      <c r="G841" s="11">
        <v>4153.6400000000003</v>
      </c>
      <c r="H841" s="11">
        <v>4153.6400000000003</v>
      </c>
      <c r="I841" s="4" t="s">
        <v>366</v>
      </c>
      <c r="J841" s="4" t="s">
        <v>367</v>
      </c>
      <c r="K841" s="11">
        <v>0</v>
      </c>
      <c r="L841" s="4"/>
      <c r="M841" s="4"/>
      <c r="N841" s="11">
        <v>0</v>
      </c>
      <c r="O841" s="4"/>
      <c r="P841" s="4"/>
      <c r="Q841" s="11">
        <v>0</v>
      </c>
      <c r="R841" s="4"/>
      <c r="S841" s="12"/>
    </row>
    <row r="842" spans="1:19" x14ac:dyDescent="0.25">
      <c r="A842" s="9" t="s">
        <v>359</v>
      </c>
      <c r="B842" s="9" t="s">
        <v>359</v>
      </c>
      <c r="C842" s="4">
        <v>201001913</v>
      </c>
      <c r="D842" s="4"/>
      <c r="E842" s="4" t="str">
        <f>"038252010"</f>
        <v>038252010</v>
      </c>
      <c r="F842" s="10">
        <v>40227</v>
      </c>
      <c r="G842" s="11">
        <v>4715.62</v>
      </c>
      <c r="H842" s="11">
        <v>4715.62</v>
      </c>
      <c r="I842" s="4" t="s">
        <v>366</v>
      </c>
      <c r="J842" s="4" t="s">
        <v>367</v>
      </c>
      <c r="K842" s="11">
        <v>0</v>
      </c>
      <c r="L842" s="4"/>
      <c r="M842" s="4"/>
      <c r="N842" s="11">
        <v>0</v>
      </c>
      <c r="O842" s="4"/>
      <c r="P842" s="4"/>
      <c r="Q842" s="11">
        <v>0</v>
      </c>
      <c r="R842" s="4"/>
      <c r="S842" s="12"/>
    </row>
    <row r="843" spans="1:19" x14ac:dyDescent="0.25">
      <c r="A843" s="9" t="s">
        <v>359</v>
      </c>
      <c r="B843" s="9" t="s">
        <v>359</v>
      </c>
      <c r="C843" s="4">
        <v>201001941</v>
      </c>
      <c r="D843" s="4" t="s">
        <v>1854</v>
      </c>
      <c r="E843" s="4" t="str">
        <f>"038882010"</f>
        <v>038882010</v>
      </c>
      <c r="F843" s="10">
        <v>40228</v>
      </c>
      <c r="G843" s="11">
        <v>10000</v>
      </c>
      <c r="H843" s="11">
        <v>10000</v>
      </c>
      <c r="I843" s="4" t="s">
        <v>366</v>
      </c>
      <c r="J843" s="4" t="s">
        <v>367</v>
      </c>
      <c r="K843" s="11">
        <v>0</v>
      </c>
      <c r="L843" s="4"/>
      <c r="M843" s="4"/>
      <c r="N843" s="11">
        <v>0</v>
      </c>
      <c r="O843" s="4"/>
      <c r="P843" s="4"/>
      <c r="Q843" s="11">
        <v>0</v>
      </c>
      <c r="R843" s="4"/>
      <c r="S843" s="12"/>
    </row>
    <row r="844" spans="1:19" x14ac:dyDescent="0.25">
      <c r="A844" s="9" t="s">
        <v>359</v>
      </c>
      <c r="B844" s="9" t="s">
        <v>359</v>
      </c>
      <c r="C844" s="4">
        <v>201001945</v>
      </c>
      <c r="D844" s="4"/>
      <c r="E844" s="4" t="str">
        <f>"038582010"</f>
        <v>038582010</v>
      </c>
      <c r="F844" s="10">
        <v>40227</v>
      </c>
      <c r="G844" s="11">
        <v>2747.69</v>
      </c>
      <c r="H844" s="11">
        <v>2747.69</v>
      </c>
      <c r="I844" s="4" t="s">
        <v>366</v>
      </c>
      <c r="J844" s="4" t="s">
        <v>367</v>
      </c>
      <c r="K844" s="11">
        <v>0</v>
      </c>
      <c r="L844" s="4"/>
      <c r="M844" s="4"/>
      <c r="N844" s="11">
        <v>0</v>
      </c>
      <c r="O844" s="4"/>
      <c r="P844" s="4"/>
      <c r="Q844" s="11">
        <v>0</v>
      </c>
      <c r="R844" s="4"/>
      <c r="S844" s="12"/>
    </row>
    <row r="845" spans="1:19" x14ac:dyDescent="0.25">
      <c r="A845" s="9" t="s">
        <v>359</v>
      </c>
      <c r="B845" s="9" t="s">
        <v>359</v>
      </c>
      <c r="C845" s="4">
        <v>201001946</v>
      </c>
      <c r="D845" s="4"/>
      <c r="E845" s="4" t="str">
        <f>"040282010"</f>
        <v>040282010</v>
      </c>
      <c r="F845" s="10">
        <v>40232</v>
      </c>
      <c r="G845" s="11">
        <v>3873.36</v>
      </c>
      <c r="H845" s="11">
        <v>3873.36</v>
      </c>
      <c r="I845" s="4" t="s">
        <v>366</v>
      </c>
      <c r="J845" s="4" t="s">
        <v>367</v>
      </c>
      <c r="K845" s="11">
        <v>0</v>
      </c>
      <c r="L845" s="4"/>
      <c r="M845" s="4"/>
      <c r="N845" s="11">
        <v>0</v>
      </c>
      <c r="O845" s="4"/>
      <c r="P845" s="4"/>
      <c r="Q845" s="11">
        <v>0</v>
      </c>
      <c r="R845" s="4"/>
      <c r="S845" s="12"/>
    </row>
    <row r="846" spans="1:19" x14ac:dyDescent="0.25">
      <c r="A846" s="9" t="s">
        <v>359</v>
      </c>
      <c r="B846" s="9" t="s">
        <v>359</v>
      </c>
      <c r="C846" s="4">
        <v>201001948</v>
      </c>
      <c r="D846" s="4"/>
      <c r="E846" s="4" t="str">
        <f>"039062010"</f>
        <v>039062010</v>
      </c>
      <c r="F846" s="10">
        <v>40228</v>
      </c>
      <c r="G846" s="11">
        <v>4122.37</v>
      </c>
      <c r="H846" s="11">
        <v>4122.37</v>
      </c>
      <c r="I846" s="4" t="s">
        <v>366</v>
      </c>
      <c r="J846" s="4" t="s">
        <v>367</v>
      </c>
      <c r="K846" s="11">
        <v>0</v>
      </c>
      <c r="L846" s="4"/>
      <c r="M846" s="4"/>
      <c r="N846" s="11">
        <v>0</v>
      </c>
      <c r="O846" s="4"/>
      <c r="P846" s="4"/>
      <c r="Q846" s="11">
        <v>0</v>
      </c>
      <c r="R846" s="4"/>
      <c r="S846" s="12"/>
    </row>
    <row r="847" spans="1:19" x14ac:dyDescent="0.25">
      <c r="A847" s="9" t="s">
        <v>359</v>
      </c>
      <c r="B847" s="9" t="s">
        <v>359</v>
      </c>
      <c r="C847" s="4">
        <v>201001949</v>
      </c>
      <c r="D847" s="4"/>
      <c r="E847" s="4" t="str">
        <f>"042832010"</f>
        <v>042832010</v>
      </c>
      <c r="F847" s="10">
        <v>40246</v>
      </c>
      <c r="G847" s="11">
        <v>13500</v>
      </c>
      <c r="H847" s="11">
        <v>13500</v>
      </c>
      <c r="I847" s="4" t="s">
        <v>366</v>
      </c>
      <c r="J847" s="4" t="s">
        <v>367</v>
      </c>
      <c r="K847" s="11">
        <v>0</v>
      </c>
      <c r="L847" s="4"/>
      <c r="M847" s="4"/>
      <c r="N847" s="11">
        <v>0</v>
      </c>
      <c r="O847" s="4"/>
      <c r="P847" s="4"/>
      <c r="Q847" s="11">
        <v>0</v>
      </c>
      <c r="R847" s="4"/>
      <c r="S847" s="12"/>
    </row>
    <row r="848" spans="1:19" x14ac:dyDescent="0.25">
      <c r="A848" s="9" t="s">
        <v>359</v>
      </c>
      <c r="B848" s="9" t="s">
        <v>359</v>
      </c>
      <c r="C848" s="4">
        <v>201001950</v>
      </c>
      <c r="D848" s="4"/>
      <c r="E848" s="4" t="str">
        <f>"039942010"</f>
        <v>039942010</v>
      </c>
      <c r="F848" s="10">
        <v>40232</v>
      </c>
      <c r="G848" s="11">
        <v>5959.49</v>
      </c>
      <c r="H848" s="11">
        <v>5959.49</v>
      </c>
      <c r="I848" s="4" t="s">
        <v>366</v>
      </c>
      <c r="J848" s="4" t="s">
        <v>367</v>
      </c>
      <c r="K848" s="11">
        <v>0</v>
      </c>
      <c r="L848" s="4"/>
      <c r="M848" s="4"/>
      <c r="N848" s="11">
        <v>0</v>
      </c>
      <c r="O848" s="4"/>
      <c r="P848" s="4"/>
      <c r="Q848" s="11">
        <v>0</v>
      </c>
      <c r="R848" s="4"/>
      <c r="S848" s="12"/>
    </row>
    <row r="849" spans="1:19" x14ac:dyDescent="0.25">
      <c r="A849" s="9" t="s">
        <v>359</v>
      </c>
      <c r="B849" s="9" t="s">
        <v>359</v>
      </c>
      <c r="C849" s="4">
        <v>201001951</v>
      </c>
      <c r="D849" s="4"/>
      <c r="E849" s="4" t="str">
        <f>"039042010"</f>
        <v>039042010</v>
      </c>
      <c r="F849" s="10">
        <v>40228</v>
      </c>
      <c r="G849" s="11">
        <v>3600</v>
      </c>
      <c r="H849" s="11">
        <v>3600</v>
      </c>
      <c r="I849" s="4" t="s">
        <v>931</v>
      </c>
      <c r="J849" s="4" t="s">
        <v>932</v>
      </c>
      <c r="K849" s="11">
        <v>0</v>
      </c>
      <c r="L849" s="4"/>
      <c r="M849" s="4"/>
      <c r="N849" s="11">
        <v>0</v>
      </c>
      <c r="O849" s="4"/>
      <c r="P849" s="4"/>
      <c r="Q849" s="11">
        <v>0</v>
      </c>
      <c r="R849" s="4"/>
      <c r="S849" s="12"/>
    </row>
    <row r="850" spans="1:19" x14ac:dyDescent="0.25">
      <c r="A850" s="9" t="s">
        <v>359</v>
      </c>
      <c r="B850" s="9" t="s">
        <v>359</v>
      </c>
      <c r="C850" s="4">
        <v>201001952</v>
      </c>
      <c r="D850" s="4"/>
      <c r="E850" s="4" t="str">
        <f>"040602010"</f>
        <v>040602010</v>
      </c>
      <c r="F850" s="10">
        <v>40234</v>
      </c>
      <c r="G850" s="11">
        <v>4449.84</v>
      </c>
      <c r="H850" s="11">
        <v>4449.84</v>
      </c>
      <c r="I850" s="4" t="s">
        <v>366</v>
      </c>
      <c r="J850" s="4" t="s">
        <v>367</v>
      </c>
      <c r="K850" s="11">
        <v>0</v>
      </c>
      <c r="L850" s="4"/>
      <c r="M850" s="4"/>
      <c r="N850" s="11">
        <v>0</v>
      </c>
      <c r="O850" s="4"/>
      <c r="P850" s="4"/>
      <c r="Q850" s="11">
        <v>0</v>
      </c>
      <c r="R850" s="4"/>
      <c r="S850" s="12"/>
    </row>
    <row r="851" spans="1:19" x14ac:dyDescent="0.25">
      <c r="A851" s="9" t="s">
        <v>359</v>
      </c>
      <c r="B851" s="9" t="s">
        <v>359</v>
      </c>
      <c r="C851" s="4">
        <v>201001953</v>
      </c>
      <c r="D851" s="4"/>
      <c r="E851" s="4" t="str">
        <f>"040002010"</f>
        <v>040002010</v>
      </c>
      <c r="F851" s="10">
        <v>40232</v>
      </c>
      <c r="G851" s="11">
        <v>3493</v>
      </c>
      <c r="H851" s="11">
        <v>3493</v>
      </c>
      <c r="I851" s="4" t="s">
        <v>366</v>
      </c>
      <c r="J851" s="4" t="s">
        <v>367</v>
      </c>
      <c r="K851" s="11">
        <v>0</v>
      </c>
      <c r="L851" s="4"/>
      <c r="M851" s="4"/>
      <c r="N851" s="11">
        <v>0</v>
      </c>
      <c r="O851" s="4"/>
      <c r="P851" s="4"/>
      <c r="Q851" s="11">
        <v>0</v>
      </c>
      <c r="R851" s="4"/>
      <c r="S851" s="12"/>
    </row>
    <row r="852" spans="1:19" x14ac:dyDescent="0.25">
      <c r="A852" s="9" t="s">
        <v>359</v>
      </c>
      <c r="B852" s="9" t="s">
        <v>359</v>
      </c>
      <c r="C852" s="4">
        <v>201001955</v>
      </c>
      <c r="D852" s="4"/>
      <c r="E852" s="4" t="str">
        <f>"039962010"</f>
        <v>039962010</v>
      </c>
      <c r="F852" s="10">
        <v>40232</v>
      </c>
      <c r="G852" s="11">
        <v>4780.67</v>
      </c>
      <c r="H852" s="11">
        <v>4780.67</v>
      </c>
      <c r="I852" s="4" t="s">
        <v>366</v>
      </c>
      <c r="J852" s="4" t="s">
        <v>367</v>
      </c>
      <c r="K852" s="11">
        <v>0</v>
      </c>
      <c r="L852" s="4"/>
      <c r="M852" s="4"/>
      <c r="N852" s="11">
        <v>0</v>
      </c>
      <c r="O852" s="4"/>
      <c r="P852" s="4"/>
      <c r="Q852" s="11">
        <v>0</v>
      </c>
      <c r="R852" s="4"/>
      <c r="S852" s="12"/>
    </row>
    <row r="853" spans="1:19" x14ac:dyDescent="0.25">
      <c r="A853" s="9" t="s">
        <v>359</v>
      </c>
      <c r="B853" s="9" t="s">
        <v>359</v>
      </c>
      <c r="C853" s="4">
        <v>201001956</v>
      </c>
      <c r="D853" s="4"/>
      <c r="E853" s="4" t="str">
        <f>"039762010"</f>
        <v>039762010</v>
      </c>
      <c r="F853" s="10">
        <v>40232</v>
      </c>
      <c r="G853" s="11">
        <v>5779.23</v>
      </c>
      <c r="H853" s="11">
        <v>5779.23</v>
      </c>
      <c r="I853" s="4" t="s">
        <v>931</v>
      </c>
      <c r="J853" s="4" t="s">
        <v>932</v>
      </c>
      <c r="K853" s="11">
        <v>0</v>
      </c>
      <c r="L853" s="4"/>
      <c r="M853" s="4"/>
      <c r="N853" s="11">
        <v>0</v>
      </c>
      <c r="O853" s="4"/>
      <c r="P853" s="4"/>
      <c r="Q853" s="11">
        <v>0</v>
      </c>
      <c r="R853" s="4"/>
      <c r="S853" s="12"/>
    </row>
    <row r="854" spans="1:19" x14ac:dyDescent="0.25">
      <c r="A854" s="9" t="s">
        <v>359</v>
      </c>
      <c r="B854" s="9" t="s">
        <v>359</v>
      </c>
      <c r="C854" s="4">
        <v>201001960</v>
      </c>
      <c r="D854" s="4"/>
      <c r="E854" s="4" t="str">
        <f>"039882010"</f>
        <v>039882010</v>
      </c>
      <c r="F854" s="10">
        <v>40232</v>
      </c>
      <c r="G854" s="11">
        <v>17500</v>
      </c>
      <c r="H854" s="11">
        <v>17500</v>
      </c>
      <c r="I854" s="4" t="s">
        <v>366</v>
      </c>
      <c r="J854" s="4" t="s">
        <v>367</v>
      </c>
      <c r="K854" s="11">
        <v>0</v>
      </c>
      <c r="L854" s="4"/>
      <c r="M854" s="4"/>
      <c r="N854" s="11">
        <v>0</v>
      </c>
      <c r="O854" s="4"/>
      <c r="P854" s="4"/>
      <c r="Q854" s="11">
        <v>0</v>
      </c>
      <c r="R854" s="4"/>
      <c r="S854" s="12"/>
    </row>
    <row r="855" spans="1:19" x14ac:dyDescent="0.25">
      <c r="A855" s="9" t="s">
        <v>359</v>
      </c>
      <c r="B855" s="9" t="s">
        <v>359</v>
      </c>
      <c r="C855" s="4">
        <v>201001963</v>
      </c>
      <c r="D855" s="4"/>
      <c r="E855" s="4" t="str">
        <f>"039782010"</f>
        <v>039782010</v>
      </c>
      <c r="F855" s="10">
        <v>40232</v>
      </c>
      <c r="G855" s="11">
        <v>5217.87</v>
      </c>
      <c r="H855" s="11">
        <v>5217.87</v>
      </c>
      <c r="I855" s="4" t="s">
        <v>366</v>
      </c>
      <c r="J855" s="4" t="s">
        <v>367</v>
      </c>
      <c r="K855" s="11">
        <v>0</v>
      </c>
      <c r="L855" s="4"/>
      <c r="M855" s="4"/>
      <c r="N855" s="11">
        <v>0</v>
      </c>
      <c r="O855" s="4"/>
      <c r="P855" s="4"/>
      <c r="Q855" s="11">
        <v>0</v>
      </c>
      <c r="R855" s="4"/>
      <c r="S855" s="12"/>
    </row>
    <row r="856" spans="1:19" x14ac:dyDescent="0.25">
      <c r="A856" s="9" t="s">
        <v>359</v>
      </c>
      <c r="B856" s="9" t="s">
        <v>359</v>
      </c>
      <c r="C856" s="4">
        <v>201001972</v>
      </c>
      <c r="D856" s="4"/>
      <c r="E856" s="4" t="str">
        <f>"039822010"</f>
        <v>039822010</v>
      </c>
      <c r="F856" s="10">
        <v>40232</v>
      </c>
      <c r="G856" s="11">
        <v>16325</v>
      </c>
      <c r="H856" s="11">
        <v>16325</v>
      </c>
      <c r="I856" s="4" t="s">
        <v>366</v>
      </c>
      <c r="J856" s="4" t="s">
        <v>367</v>
      </c>
      <c r="K856" s="11">
        <v>0</v>
      </c>
      <c r="L856" s="4"/>
      <c r="M856" s="4"/>
      <c r="N856" s="11">
        <v>0</v>
      </c>
      <c r="O856" s="4"/>
      <c r="P856" s="4"/>
      <c r="Q856" s="11">
        <v>0</v>
      </c>
      <c r="R856" s="4"/>
      <c r="S856" s="12"/>
    </row>
    <row r="857" spans="1:19" x14ac:dyDescent="0.25">
      <c r="A857" s="9" t="s">
        <v>359</v>
      </c>
      <c r="B857" s="9" t="s">
        <v>359</v>
      </c>
      <c r="C857" s="4">
        <v>201001973</v>
      </c>
      <c r="D857" s="4"/>
      <c r="E857" s="4" t="str">
        <f>"039842010"</f>
        <v>039842010</v>
      </c>
      <c r="F857" s="10">
        <v>40232</v>
      </c>
      <c r="G857" s="11">
        <v>4993</v>
      </c>
      <c r="H857" s="11">
        <v>4993</v>
      </c>
      <c r="I857" s="4" t="s">
        <v>366</v>
      </c>
      <c r="J857" s="4" t="s">
        <v>367</v>
      </c>
      <c r="K857" s="11">
        <v>0</v>
      </c>
      <c r="L857" s="4"/>
      <c r="M857" s="4"/>
      <c r="N857" s="11">
        <v>0</v>
      </c>
      <c r="O857" s="4"/>
      <c r="P857" s="4"/>
      <c r="Q857" s="11">
        <v>0</v>
      </c>
      <c r="R857" s="4"/>
      <c r="S857" s="12"/>
    </row>
    <row r="858" spans="1:19" x14ac:dyDescent="0.25">
      <c r="A858" s="9" t="s">
        <v>359</v>
      </c>
      <c r="B858" s="9" t="s">
        <v>359</v>
      </c>
      <c r="C858" s="4">
        <v>201001975</v>
      </c>
      <c r="D858" s="4"/>
      <c r="E858" s="4" t="str">
        <f>"039802010"</f>
        <v>039802010</v>
      </c>
      <c r="F858" s="10">
        <v>40232</v>
      </c>
      <c r="G858" s="11">
        <v>5950</v>
      </c>
      <c r="H858" s="11">
        <v>5950</v>
      </c>
      <c r="I858" s="4" t="s">
        <v>366</v>
      </c>
      <c r="J858" s="4" t="s">
        <v>367</v>
      </c>
      <c r="K858" s="11">
        <v>0</v>
      </c>
      <c r="L858" s="4"/>
      <c r="M858" s="4"/>
      <c r="N858" s="11">
        <v>0</v>
      </c>
      <c r="O858" s="4"/>
      <c r="P858" s="4"/>
      <c r="Q858" s="11">
        <v>0</v>
      </c>
      <c r="R858" s="4"/>
      <c r="S858" s="12"/>
    </row>
    <row r="859" spans="1:19" x14ac:dyDescent="0.25">
      <c r="A859" s="9" t="s">
        <v>359</v>
      </c>
      <c r="B859" s="9" t="s">
        <v>359</v>
      </c>
      <c r="C859" s="4">
        <v>201001996</v>
      </c>
      <c r="D859" s="4" t="s">
        <v>1855</v>
      </c>
      <c r="E859" s="4" t="str">
        <f>"041162010"</f>
        <v>041162010</v>
      </c>
      <c r="F859" s="10">
        <v>40234</v>
      </c>
      <c r="G859" s="11">
        <v>20000</v>
      </c>
      <c r="H859" s="11">
        <v>20000</v>
      </c>
      <c r="I859" s="4" t="s">
        <v>366</v>
      </c>
      <c r="J859" s="4" t="s">
        <v>367</v>
      </c>
      <c r="K859" s="11">
        <v>0</v>
      </c>
      <c r="L859" s="4"/>
      <c r="M859" s="4"/>
      <c r="N859" s="11">
        <v>0</v>
      </c>
      <c r="O859" s="4"/>
      <c r="P859" s="4"/>
      <c r="Q859" s="11">
        <v>0</v>
      </c>
      <c r="R859" s="4"/>
      <c r="S859" s="12"/>
    </row>
    <row r="860" spans="1:19" x14ac:dyDescent="0.25">
      <c r="A860" s="9" t="s">
        <v>359</v>
      </c>
      <c r="B860" s="9" t="s">
        <v>359</v>
      </c>
      <c r="C860" s="4">
        <v>201002014</v>
      </c>
      <c r="D860" s="4"/>
      <c r="E860" s="4" t="str">
        <f>"041182010"</f>
        <v>041182010</v>
      </c>
      <c r="F860" s="10">
        <v>40234</v>
      </c>
      <c r="G860" s="11">
        <v>6941.14</v>
      </c>
      <c r="H860" s="11">
        <v>6941.14</v>
      </c>
      <c r="I860" s="4" t="s">
        <v>366</v>
      </c>
      <c r="J860" s="4" t="s">
        <v>367</v>
      </c>
      <c r="K860" s="11">
        <v>0</v>
      </c>
      <c r="L860" s="4"/>
      <c r="M860" s="4"/>
      <c r="N860" s="11">
        <v>0</v>
      </c>
      <c r="O860" s="4"/>
      <c r="P860" s="4"/>
      <c r="Q860" s="11">
        <v>0</v>
      </c>
      <c r="R860" s="4"/>
      <c r="S860" s="12"/>
    </row>
    <row r="861" spans="1:19" x14ac:dyDescent="0.25">
      <c r="A861" s="9" t="s">
        <v>359</v>
      </c>
      <c r="B861" s="9" t="s">
        <v>359</v>
      </c>
      <c r="C861" s="4">
        <v>201002046</v>
      </c>
      <c r="D861" s="4"/>
      <c r="E861" s="4" t="str">
        <f>"041582010"</f>
        <v>041582010</v>
      </c>
      <c r="F861" s="10">
        <v>40241</v>
      </c>
      <c r="G861" s="11">
        <v>6550.22</v>
      </c>
      <c r="H861" s="11">
        <v>6550.22</v>
      </c>
      <c r="I861" s="4" t="s">
        <v>366</v>
      </c>
      <c r="J861" s="4" t="s">
        <v>367</v>
      </c>
      <c r="K861" s="11">
        <v>0</v>
      </c>
      <c r="L861" s="4"/>
      <c r="M861" s="4"/>
      <c r="N861" s="11">
        <v>0</v>
      </c>
      <c r="O861" s="4"/>
      <c r="P861" s="4"/>
      <c r="Q861" s="11">
        <v>0</v>
      </c>
      <c r="R861" s="4"/>
      <c r="S861" s="12"/>
    </row>
    <row r="862" spans="1:19" x14ac:dyDescent="0.25">
      <c r="A862" s="9" t="s">
        <v>359</v>
      </c>
      <c r="B862" s="9" t="s">
        <v>359</v>
      </c>
      <c r="C862" s="4">
        <v>201002048</v>
      </c>
      <c r="D862" s="4"/>
      <c r="E862" s="4" t="str">
        <f>"041422010"</f>
        <v>041422010</v>
      </c>
      <c r="F862" s="10">
        <v>40241</v>
      </c>
      <c r="G862" s="11">
        <v>4135.26</v>
      </c>
      <c r="H862" s="11">
        <v>4135.26</v>
      </c>
      <c r="I862" s="4" t="s">
        <v>366</v>
      </c>
      <c r="J862" s="4" t="s">
        <v>367</v>
      </c>
      <c r="K862" s="11">
        <v>0</v>
      </c>
      <c r="L862" s="4"/>
      <c r="M862" s="4"/>
      <c r="N862" s="11">
        <v>0</v>
      </c>
      <c r="O862" s="4"/>
      <c r="P862" s="4"/>
      <c r="Q862" s="11">
        <v>0</v>
      </c>
      <c r="R862" s="4"/>
      <c r="S862" s="12"/>
    </row>
    <row r="863" spans="1:19" x14ac:dyDescent="0.25">
      <c r="A863" s="9" t="s">
        <v>359</v>
      </c>
      <c r="B863" s="9" t="s">
        <v>359</v>
      </c>
      <c r="C863" s="4">
        <v>201002054</v>
      </c>
      <c r="D863" s="4"/>
      <c r="E863" s="4" t="str">
        <f>"042012010"</f>
        <v>042012010</v>
      </c>
      <c r="F863" s="10">
        <v>40241</v>
      </c>
      <c r="G863" s="11">
        <v>6500.24</v>
      </c>
      <c r="H863" s="11">
        <v>6500.24</v>
      </c>
      <c r="I863" s="4" t="s">
        <v>366</v>
      </c>
      <c r="J863" s="4" t="s">
        <v>367</v>
      </c>
      <c r="K863" s="11">
        <v>0</v>
      </c>
      <c r="L863" s="4"/>
      <c r="M863" s="4"/>
      <c r="N863" s="11">
        <v>0</v>
      </c>
      <c r="O863" s="4"/>
      <c r="P863" s="4"/>
      <c r="Q863" s="11">
        <v>0</v>
      </c>
      <c r="R863" s="4"/>
      <c r="S863" s="12"/>
    </row>
    <row r="864" spans="1:19" x14ac:dyDescent="0.25">
      <c r="A864" s="9" t="s">
        <v>359</v>
      </c>
      <c r="B864" s="9" t="s">
        <v>359</v>
      </c>
      <c r="C864" s="4">
        <v>201002063</v>
      </c>
      <c r="D864" s="4" t="s">
        <v>1856</v>
      </c>
      <c r="E864" s="4" t="str">
        <f>"044182010"</f>
        <v>044182010</v>
      </c>
      <c r="F864" s="10">
        <v>40245</v>
      </c>
      <c r="G864" s="11">
        <v>6500</v>
      </c>
      <c r="H864" s="11">
        <v>6500</v>
      </c>
      <c r="I864" s="4" t="s">
        <v>366</v>
      </c>
      <c r="J864" s="4" t="s">
        <v>367</v>
      </c>
      <c r="K864" s="11">
        <v>0</v>
      </c>
      <c r="L864" s="4"/>
      <c r="M864" s="4"/>
      <c r="N864" s="11">
        <v>0</v>
      </c>
      <c r="O864" s="4"/>
      <c r="P864" s="4"/>
      <c r="Q864" s="11">
        <v>0</v>
      </c>
      <c r="R864" s="4"/>
      <c r="S864" s="12"/>
    </row>
    <row r="865" spans="1:19" x14ac:dyDescent="0.25">
      <c r="A865" s="9" t="s">
        <v>359</v>
      </c>
      <c r="B865" s="9" t="s">
        <v>359</v>
      </c>
      <c r="C865" s="4">
        <v>201002079</v>
      </c>
      <c r="D865" s="4"/>
      <c r="E865" s="4" t="str">
        <f>"041972010"</f>
        <v>041972010</v>
      </c>
      <c r="F865" s="10">
        <v>40241</v>
      </c>
      <c r="G865" s="11">
        <v>3516.8</v>
      </c>
      <c r="H865" s="11">
        <v>3516.8</v>
      </c>
      <c r="I865" s="4" t="s">
        <v>366</v>
      </c>
      <c r="J865" s="4" t="s">
        <v>367</v>
      </c>
      <c r="K865" s="11">
        <v>0</v>
      </c>
      <c r="L865" s="4"/>
      <c r="M865" s="4"/>
      <c r="N865" s="11">
        <v>0</v>
      </c>
      <c r="O865" s="4"/>
      <c r="P865" s="4"/>
      <c r="Q865" s="11">
        <v>0</v>
      </c>
      <c r="R865" s="4"/>
      <c r="S865" s="12"/>
    </row>
    <row r="866" spans="1:19" x14ac:dyDescent="0.25">
      <c r="A866" s="9" t="s">
        <v>359</v>
      </c>
      <c r="B866" s="9" t="s">
        <v>359</v>
      </c>
      <c r="C866" s="4">
        <v>201002085</v>
      </c>
      <c r="D866" s="4"/>
      <c r="E866" s="4" t="str">
        <f>"042212010"</f>
        <v>042212010</v>
      </c>
      <c r="F866" s="10">
        <v>40241</v>
      </c>
      <c r="G866" s="11">
        <v>3543.25</v>
      </c>
      <c r="H866" s="11">
        <v>3543.25</v>
      </c>
      <c r="I866" s="4" t="s">
        <v>366</v>
      </c>
      <c r="J866" s="4" t="s">
        <v>367</v>
      </c>
      <c r="K866" s="11">
        <v>0</v>
      </c>
      <c r="L866" s="4"/>
      <c r="M866" s="4"/>
      <c r="N866" s="11">
        <v>0</v>
      </c>
      <c r="O866" s="4"/>
      <c r="P866" s="4"/>
      <c r="Q866" s="11">
        <v>0</v>
      </c>
      <c r="R866" s="4"/>
      <c r="S866" s="12"/>
    </row>
    <row r="867" spans="1:19" x14ac:dyDescent="0.25">
      <c r="A867" s="9" t="s">
        <v>359</v>
      </c>
      <c r="B867" s="9" t="s">
        <v>359</v>
      </c>
      <c r="C867" s="4">
        <v>201002090</v>
      </c>
      <c r="D867" s="4"/>
      <c r="E867" s="4" t="str">
        <f>"041872010"</f>
        <v>041872010</v>
      </c>
      <c r="F867" s="10">
        <v>40241</v>
      </c>
      <c r="G867" s="11">
        <v>8436.1299999999992</v>
      </c>
      <c r="H867" s="11">
        <v>8436.1299999999992</v>
      </c>
      <c r="I867" s="4" t="s">
        <v>931</v>
      </c>
      <c r="J867" s="4" t="s">
        <v>932</v>
      </c>
      <c r="K867" s="11">
        <v>0</v>
      </c>
      <c r="L867" s="4"/>
      <c r="M867" s="4"/>
      <c r="N867" s="11">
        <v>0</v>
      </c>
      <c r="O867" s="4"/>
      <c r="P867" s="4"/>
      <c r="Q867" s="11">
        <v>0</v>
      </c>
      <c r="R867" s="4"/>
      <c r="S867" s="12"/>
    </row>
    <row r="868" spans="1:19" x14ac:dyDescent="0.25">
      <c r="A868" s="9" t="s">
        <v>359</v>
      </c>
      <c r="B868" s="9" t="s">
        <v>359</v>
      </c>
      <c r="C868" s="4">
        <v>201002091</v>
      </c>
      <c r="D868" s="4" t="s">
        <v>1857</v>
      </c>
      <c r="E868" s="4" t="str">
        <f>"043232010"</f>
        <v>043232010</v>
      </c>
      <c r="F868" s="10">
        <v>40241</v>
      </c>
      <c r="G868" s="11">
        <v>6572</v>
      </c>
      <c r="H868" s="11">
        <v>6572</v>
      </c>
      <c r="I868" s="4" t="s">
        <v>366</v>
      </c>
      <c r="J868" s="4" t="s">
        <v>367</v>
      </c>
      <c r="K868" s="11">
        <v>0</v>
      </c>
      <c r="L868" s="4"/>
      <c r="M868" s="4"/>
      <c r="N868" s="11">
        <v>0</v>
      </c>
      <c r="O868" s="4"/>
      <c r="P868" s="4"/>
      <c r="Q868" s="11">
        <v>0</v>
      </c>
      <c r="R868" s="4"/>
      <c r="S868" s="12"/>
    </row>
    <row r="869" spans="1:19" x14ac:dyDescent="0.25">
      <c r="A869" s="9" t="s">
        <v>359</v>
      </c>
      <c r="B869" s="9" t="s">
        <v>359</v>
      </c>
      <c r="C869" s="4">
        <v>201002098</v>
      </c>
      <c r="D869" s="4"/>
      <c r="E869" s="4" t="str">
        <f>"047142010"</f>
        <v>047142010</v>
      </c>
      <c r="F869" s="10">
        <v>40252</v>
      </c>
      <c r="G869" s="11">
        <v>2867.47</v>
      </c>
      <c r="H869" s="11">
        <v>2867.47</v>
      </c>
      <c r="I869" s="4" t="s">
        <v>366</v>
      </c>
      <c r="J869" s="4" t="s">
        <v>367</v>
      </c>
      <c r="K869" s="11">
        <v>0</v>
      </c>
      <c r="L869" s="4"/>
      <c r="M869" s="4"/>
      <c r="N869" s="11">
        <v>0</v>
      </c>
      <c r="O869" s="4"/>
      <c r="P869" s="4"/>
      <c r="Q869" s="11">
        <v>0</v>
      </c>
      <c r="R869" s="4"/>
      <c r="S869" s="12"/>
    </row>
    <row r="870" spans="1:19" x14ac:dyDescent="0.25">
      <c r="A870" s="9" t="s">
        <v>359</v>
      </c>
      <c r="B870" s="9" t="s">
        <v>359</v>
      </c>
      <c r="C870" s="4">
        <v>201002100</v>
      </c>
      <c r="D870" s="4"/>
      <c r="E870" s="4" t="str">
        <f>"043072010"</f>
        <v>043072010</v>
      </c>
      <c r="F870" s="10">
        <v>40240</v>
      </c>
      <c r="G870" s="11">
        <v>4515.03</v>
      </c>
      <c r="H870" s="11">
        <v>4515.03</v>
      </c>
      <c r="I870" s="4" t="s">
        <v>366</v>
      </c>
      <c r="J870" s="4" t="s">
        <v>367</v>
      </c>
      <c r="K870" s="11">
        <v>0</v>
      </c>
      <c r="L870" s="4"/>
      <c r="M870" s="4"/>
      <c r="N870" s="11">
        <v>0</v>
      </c>
      <c r="O870" s="4"/>
      <c r="P870" s="4"/>
      <c r="Q870" s="11">
        <v>0</v>
      </c>
      <c r="R870" s="4"/>
      <c r="S870" s="12"/>
    </row>
    <row r="871" spans="1:19" x14ac:dyDescent="0.25">
      <c r="A871" s="9" t="s">
        <v>359</v>
      </c>
      <c r="B871" s="9" t="s">
        <v>359</v>
      </c>
      <c r="C871" s="4">
        <v>201002126</v>
      </c>
      <c r="D871" s="4" t="s">
        <v>1858</v>
      </c>
      <c r="E871" s="4" t="str">
        <f>"044202010"</f>
        <v>044202010</v>
      </c>
      <c r="F871" s="10">
        <v>40242</v>
      </c>
      <c r="G871" s="11">
        <v>700000</v>
      </c>
      <c r="H871" s="11">
        <v>700000</v>
      </c>
      <c r="I871" s="4" t="s">
        <v>1859</v>
      </c>
      <c r="J871" s="4" t="s">
        <v>1860</v>
      </c>
      <c r="K871" s="11">
        <v>0</v>
      </c>
      <c r="L871" s="4"/>
      <c r="M871" s="4"/>
      <c r="N871" s="11">
        <v>0</v>
      </c>
      <c r="O871" s="4"/>
      <c r="P871" s="4"/>
      <c r="Q871" s="11">
        <v>0</v>
      </c>
      <c r="R871" s="4"/>
      <c r="S871" s="12"/>
    </row>
    <row r="872" spans="1:19" x14ac:dyDescent="0.25">
      <c r="A872" s="9" t="s">
        <v>359</v>
      </c>
      <c r="B872" s="9" t="s">
        <v>359</v>
      </c>
      <c r="C872" s="4">
        <v>201002171</v>
      </c>
      <c r="D872" s="4"/>
      <c r="E872" s="4" t="str">
        <f>"044012010"</f>
        <v>044012010</v>
      </c>
      <c r="F872" s="10">
        <v>40245</v>
      </c>
      <c r="G872" s="11">
        <v>4605.03</v>
      </c>
      <c r="H872" s="11">
        <v>4605.03</v>
      </c>
      <c r="I872" s="4" t="s">
        <v>366</v>
      </c>
      <c r="J872" s="4" t="s">
        <v>367</v>
      </c>
      <c r="K872" s="11">
        <v>0</v>
      </c>
      <c r="L872" s="4"/>
      <c r="M872" s="4"/>
      <c r="N872" s="11">
        <v>0</v>
      </c>
      <c r="O872" s="4"/>
      <c r="P872" s="4"/>
      <c r="Q872" s="11">
        <v>0</v>
      </c>
      <c r="R872" s="4"/>
      <c r="S872" s="12"/>
    </row>
    <row r="873" spans="1:19" x14ac:dyDescent="0.25">
      <c r="A873" s="9" t="s">
        <v>359</v>
      </c>
      <c r="B873" s="9" t="s">
        <v>359</v>
      </c>
      <c r="C873" s="4">
        <v>201002175</v>
      </c>
      <c r="D873" s="4" t="s">
        <v>1861</v>
      </c>
      <c r="E873" s="4" t="str">
        <f>"043892010"</f>
        <v>043892010</v>
      </c>
      <c r="F873" s="10">
        <v>40245</v>
      </c>
      <c r="G873" s="11">
        <v>50000</v>
      </c>
      <c r="H873" s="11">
        <v>50000</v>
      </c>
      <c r="I873" s="4" t="s">
        <v>366</v>
      </c>
      <c r="J873" s="4" t="s">
        <v>367</v>
      </c>
      <c r="K873" s="11">
        <v>0</v>
      </c>
      <c r="L873" s="4"/>
      <c r="M873" s="4"/>
      <c r="N873" s="11">
        <v>0</v>
      </c>
      <c r="O873" s="4"/>
      <c r="P873" s="4"/>
      <c r="Q873" s="11">
        <v>0</v>
      </c>
      <c r="R873" s="4"/>
      <c r="S873" s="12"/>
    </row>
    <row r="874" spans="1:19" x14ac:dyDescent="0.25">
      <c r="A874" s="9" t="s">
        <v>359</v>
      </c>
      <c r="B874" s="9" t="s">
        <v>359</v>
      </c>
      <c r="C874" s="4">
        <v>201002204</v>
      </c>
      <c r="D874" s="4"/>
      <c r="E874" s="4" t="str">
        <f>"043872010"</f>
        <v>043872010</v>
      </c>
      <c r="F874" s="10">
        <v>40245</v>
      </c>
      <c r="G874" s="11">
        <v>13780.75</v>
      </c>
      <c r="H874" s="11">
        <v>13780.75</v>
      </c>
      <c r="I874" s="4" t="s">
        <v>366</v>
      </c>
      <c r="J874" s="4" t="s">
        <v>367</v>
      </c>
      <c r="K874" s="11">
        <v>0</v>
      </c>
      <c r="L874" s="4"/>
      <c r="M874" s="4"/>
      <c r="N874" s="11">
        <v>0</v>
      </c>
      <c r="O874" s="4"/>
      <c r="P874" s="4"/>
      <c r="Q874" s="11">
        <v>0</v>
      </c>
      <c r="R874" s="4"/>
      <c r="S874" s="12"/>
    </row>
    <row r="875" spans="1:19" x14ac:dyDescent="0.25">
      <c r="A875" s="9" t="s">
        <v>359</v>
      </c>
      <c r="B875" s="9" t="s">
        <v>359</v>
      </c>
      <c r="C875" s="4">
        <v>201002238</v>
      </c>
      <c r="D875" s="4"/>
      <c r="E875" s="4" t="str">
        <f>"045462010"</f>
        <v>045462010</v>
      </c>
      <c r="F875" s="10">
        <v>40248</v>
      </c>
      <c r="G875" s="11">
        <v>6829</v>
      </c>
      <c r="H875" s="11">
        <v>6829</v>
      </c>
      <c r="I875" s="4" t="s">
        <v>366</v>
      </c>
      <c r="J875" s="4" t="s">
        <v>367</v>
      </c>
      <c r="K875" s="11">
        <v>0</v>
      </c>
      <c r="L875" s="4"/>
      <c r="M875" s="4"/>
      <c r="N875" s="11">
        <v>0</v>
      </c>
      <c r="O875" s="4"/>
      <c r="P875" s="4"/>
      <c r="Q875" s="11">
        <v>0</v>
      </c>
      <c r="R875" s="4"/>
      <c r="S875" s="12"/>
    </row>
    <row r="876" spans="1:19" x14ac:dyDescent="0.25">
      <c r="A876" s="9" t="s">
        <v>359</v>
      </c>
      <c r="B876" s="9" t="s">
        <v>359</v>
      </c>
      <c r="C876" s="4">
        <v>201002240</v>
      </c>
      <c r="D876" s="4"/>
      <c r="E876" s="4" t="str">
        <f>"047862010"</f>
        <v>047862010</v>
      </c>
      <c r="F876" s="10">
        <v>40255</v>
      </c>
      <c r="G876" s="11">
        <v>11015.05</v>
      </c>
      <c r="H876" s="11">
        <v>11015.05</v>
      </c>
      <c r="I876" s="4" t="s">
        <v>366</v>
      </c>
      <c r="J876" s="4" t="s">
        <v>367</v>
      </c>
      <c r="K876" s="11">
        <v>0</v>
      </c>
      <c r="L876" s="4"/>
      <c r="M876" s="4"/>
      <c r="N876" s="11">
        <v>0</v>
      </c>
      <c r="O876" s="4"/>
      <c r="P876" s="4"/>
      <c r="Q876" s="11">
        <v>0</v>
      </c>
      <c r="R876" s="4"/>
      <c r="S876" s="12"/>
    </row>
    <row r="877" spans="1:19" x14ac:dyDescent="0.25">
      <c r="A877" s="9" t="s">
        <v>359</v>
      </c>
      <c r="B877" s="9" t="s">
        <v>359</v>
      </c>
      <c r="C877" s="4">
        <v>201002241</v>
      </c>
      <c r="D877" s="4"/>
      <c r="E877" s="4" t="str">
        <f>"045422010"</f>
        <v>045422010</v>
      </c>
      <c r="F877" s="10">
        <v>40248</v>
      </c>
      <c r="G877" s="11">
        <v>3958.88</v>
      </c>
      <c r="H877" s="11">
        <v>3958.88</v>
      </c>
      <c r="I877" s="4" t="s">
        <v>366</v>
      </c>
      <c r="J877" s="4" t="s">
        <v>367</v>
      </c>
      <c r="K877" s="11">
        <v>0</v>
      </c>
      <c r="L877" s="4"/>
      <c r="M877" s="4"/>
      <c r="N877" s="11">
        <v>0</v>
      </c>
      <c r="O877" s="4"/>
      <c r="P877" s="4"/>
      <c r="Q877" s="11">
        <v>0</v>
      </c>
      <c r="R877" s="4"/>
      <c r="S877" s="12"/>
    </row>
    <row r="878" spans="1:19" x14ac:dyDescent="0.25">
      <c r="A878" s="9" t="s">
        <v>359</v>
      </c>
      <c r="B878" s="9" t="s">
        <v>359</v>
      </c>
      <c r="C878" s="4">
        <v>201002245</v>
      </c>
      <c r="D878" s="4"/>
      <c r="E878" s="4" t="str">
        <f>"045782010"</f>
        <v>045782010</v>
      </c>
      <c r="F878" s="10">
        <v>40248</v>
      </c>
      <c r="G878" s="11">
        <v>5311.78</v>
      </c>
      <c r="H878" s="11">
        <v>5311.78</v>
      </c>
      <c r="I878" s="4" t="s">
        <v>366</v>
      </c>
      <c r="J878" s="4" t="s">
        <v>367</v>
      </c>
      <c r="K878" s="11">
        <v>0</v>
      </c>
      <c r="L878" s="4"/>
      <c r="M878" s="4"/>
      <c r="N878" s="11">
        <v>0</v>
      </c>
      <c r="O878" s="4"/>
      <c r="P878" s="4"/>
      <c r="Q878" s="11">
        <v>0</v>
      </c>
      <c r="R878" s="4"/>
      <c r="S878" s="12"/>
    </row>
    <row r="879" spans="1:19" x14ac:dyDescent="0.25">
      <c r="A879" s="9" t="s">
        <v>359</v>
      </c>
      <c r="B879" s="9" t="s">
        <v>359</v>
      </c>
      <c r="C879" s="4">
        <v>201002248</v>
      </c>
      <c r="D879" s="4"/>
      <c r="E879" s="4" t="str">
        <f>"045442010"</f>
        <v>045442010</v>
      </c>
      <c r="F879" s="10">
        <v>40248</v>
      </c>
      <c r="G879" s="11">
        <v>4289.9799999999996</v>
      </c>
      <c r="H879" s="11">
        <v>4289.9799999999996</v>
      </c>
      <c r="I879" s="4" t="s">
        <v>366</v>
      </c>
      <c r="J879" s="4" t="s">
        <v>367</v>
      </c>
      <c r="K879" s="11">
        <v>0</v>
      </c>
      <c r="L879" s="4"/>
      <c r="M879" s="4"/>
      <c r="N879" s="11">
        <v>0</v>
      </c>
      <c r="O879" s="4"/>
      <c r="P879" s="4"/>
      <c r="Q879" s="11">
        <v>0</v>
      </c>
      <c r="R879" s="4"/>
      <c r="S879" s="12"/>
    </row>
    <row r="880" spans="1:19" x14ac:dyDescent="0.25">
      <c r="A880" s="9" t="s">
        <v>359</v>
      </c>
      <c r="B880" s="9" t="s">
        <v>359</v>
      </c>
      <c r="C880" s="4">
        <v>201002254</v>
      </c>
      <c r="D880" s="4"/>
      <c r="E880" s="4" t="str">
        <f>"045722010"</f>
        <v>045722010</v>
      </c>
      <c r="F880" s="10">
        <v>40248</v>
      </c>
      <c r="G880" s="11">
        <v>2751.15</v>
      </c>
      <c r="H880" s="11">
        <v>2751.15</v>
      </c>
      <c r="I880" s="4" t="s">
        <v>366</v>
      </c>
      <c r="J880" s="4" t="s">
        <v>367</v>
      </c>
      <c r="K880" s="11">
        <v>0</v>
      </c>
      <c r="L880" s="4"/>
      <c r="M880" s="4"/>
      <c r="N880" s="11">
        <v>0</v>
      </c>
      <c r="O880" s="4"/>
      <c r="P880" s="4"/>
      <c r="Q880" s="11">
        <v>0</v>
      </c>
      <c r="R880" s="4"/>
      <c r="S880" s="12"/>
    </row>
    <row r="881" spans="1:19" x14ac:dyDescent="0.25">
      <c r="A881" s="9" t="s">
        <v>359</v>
      </c>
      <c r="B881" s="9" t="s">
        <v>359</v>
      </c>
      <c r="C881" s="4">
        <v>201002256</v>
      </c>
      <c r="D881" s="4"/>
      <c r="E881" s="4" t="str">
        <f>"045662010"</f>
        <v>045662010</v>
      </c>
      <c r="F881" s="10">
        <v>40248</v>
      </c>
      <c r="G881" s="11">
        <v>4284.0600000000004</v>
      </c>
      <c r="H881" s="11">
        <v>4284.0600000000004</v>
      </c>
      <c r="I881" s="4" t="s">
        <v>366</v>
      </c>
      <c r="J881" s="4" t="s">
        <v>367</v>
      </c>
      <c r="K881" s="11">
        <v>0</v>
      </c>
      <c r="L881" s="4"/>
      <c r="M881" s="4"/>
      <c r="N881" s="11">
        <v>0</v>
      </c>
      <c r="O881" s="4"/>
      <c r="P881" s="4"/>
      <c r="Q881" s="11">
        <v>0</v>
      </c>
      <c r="R881" s="4"/>
      <c r="S881" s="12"/>
    </row>
    <row r="882" spans="1:19" x14ac:dyDescent="0.25">
      <c r="A882" s="9" t="s">
        <v>359</v>
      </c>
      <c r="B882" s="9" t="s">
        <v>359</v>
      </c>
      <c r="C882" s="4">
        <v>201002278</v>
      </c>
      <c r="D882" s="4" t="s">
        <v>1862</v>
      </c>
      <c r="E882" s="4" t="str">
        <f>"049342010"</f>
        <v>049342010</v>
      </c>
      <c r="F882" s="10">
        <v>40260</v>
      </c>
      <c r="G882" s="11">
        <v>2602.4899999999998</v>
      </c>
      <c r="H882" s="11">
        <v>2602.4899999999998</v>
      </c>
      <c r="I882" s="4" t="s">
        <v>366</v>
      </c>
      <c r="J882" s="4" t="s">
        <v>367</v>
      </c>
      <c r="K882" s="11">
        <v>0</v>
      </c>
      <c r="L882" s="4"/>
      <c r="M882" s="4"/>
      <c r="N882" s="11">
        <v>0</v>
      </c>
      <c r="O882" s="4"/>
      <c r="P882" s="4"/>
      <c r="Q882" s="11">
        <v>0</v>
      </c>
      <c r="R882" s="4"/>
      <c r="S882" s="12"/>
    </row>
    <row r="883" spans="1:19" x14ac:dyDescent="0.25">
      <c r="A883" s="9" t="s">
        <v>359</v>
      </c>
      <c r="B883" s="9" t="s">
        <v>359</v>
      </c>
      <c r="C883" s="4">
        <v>201002279</v>
      </c>
      <c r="D883" s="4"/>
      <c r="E883" s="4" t="str">
        <f>"045642010"</f>
        <v>045642010</v>
      </c>
      <c r="F883" s="10">
        <v>40248</v>
      </c>
      <c r="G883" s="11">
        <v>3800</v>
      </c>
      <c r="H883" s="11">
        <v>3800</v>
      </c>
      <c r="I883" s="4" t="s">
        <v>366</v>
      </c>
      <c r="J883" s="4" t="s">
        <v>367</v>
      </c>
      <c r="K883" s="11">
        <v>0</v>
      </c>
      <c r="L883" s="4"/>
      <c r="M883" s="4"/>
      <c r="N883" s="11">
        <v>0</v>
      </c>
      <c r="O883" s="4"/>
      <c r="P883" s="4"/>
      <c r="Q883" s="11">
        <v>0</v>
      </c>
      <c r="R883" s="4"/>
      <c r="S883" s="12"/>
    </row>
    <row r="884" spans="1:19" x14ac:dyDescent="0.25">
      <c r="A884" s="9" t="s">
        <v>359</v>
      </c>
      <c r="B884" s="9" t="s">
        <v>359</v>
      </c>
      <c r="C884" s="4">
        <v>201002283</v>
      </c>
      <c r="D884" s="4"/>
      <c r="E884" s="4" t="str">
        <f>"045822010"</f>
        <v>045822010</v>
      </c>
      <c r="F884" s="10">
        <v>40248</v>
      </c>
      <c r="G884" s="11">
        <v>7723.54</v>
      </c>
      <c r="H884" s="11">
        <v>7723.54</v>
      </c>
      <c r="I884" s="4" t="s">
        <v>366</v>
      </c>
      <c r="J884" s="4" t="s">
        <v>367</v>
      </c>
      <c r="K884" s="11">
        <v>0</v>
      </c>
      <c r="L884" s="4"/>
      <c r="M884" s="4"/>
      <c r="N884" s="11">
        <v>0</v>
      </c>
      <c r="O884" s="4"/>
      <c r="P884" s="4"/>
      <c r="Q884" s="11">
        <v>0</v>
      </c>
      <c r="R884" s="4"/>
      <c r="S884" s="12"/>
    </row>
    <row r="885" spans="1:19" x14ac:dyDescent="0.25">
      <c r="A885" s="9" t="s">
        <v>359</v>
      </c>
      <c r="B885" s="9" t="s">
        <v>359</v>
      </c>
      <c r="C885" s="4">
        <v>201002285</v>
      </c>
      <c r="D885" s="4"/>
      <c r="E885" s="4" t="str">
        <f>"045802010"</f>
        <v>045802010</v>
      </c>
      <c r="F885" s="10">
        <v>40248</v>
      </c>
      <c r="G885" s="11">
        <v>5655.29</v>
      </c>
      <c r="H885" s="11">
        <v>5655.29</v>
      </c>
      <c r="I885" s="4" t="s">
        <v>366</v>
      </c>
      <c r="J885" s="4" t="s">
        <v>367</v>
      </c>
      <c r="K885" s="11">
        <v>0</v>
      </c>
      <c r="L885" s="4"/>
      <c r="M885" s="4"/>
      <c r="N885" s="11">
        <v>0</v>
      </c>
      <c r="O885" s="4"/>
      <c r="P885" s="4"/>
      <c r="Q885" s="11">
        <v>0</v>
      </c>
      <c r="R885" s="4"/>
      <c r="S885" s="12"/>
    </row>
    <row r="886" spans="1:19" x14ac:dyDescent="0.25">
      <c r="A886" s="9" t="s">
        <v>359</v>
      </c>
      <c r="B886" s="9" t="s">
        <v>359</v>
      </c>
      <c r="C886" s="4">
        <v>201002323</v>
      </c>
      <c r="D886" s="4"/>
      <c r="E886" s="4" t="str">
        <f>"046042010"</f>
        <v>046042010</v>
      </c>
      <c r="F886" s="10">
        <v>40249</v>
      </c>
      <c r="G886" s="11">
        <v>3247.46</v>
      </c>
      <c r="H886" s="11">
        <v>3247.46</v>
      </c>
      <c r="I886" s="4" t="s">
        <v>366</v>
      </c>
      <c r="J886" s="4" t="s">
        <v>367</v>
      </c>
      <c r="K886" s="11">
        <v>0</v>
      </c>
      <c r="L886" s="4"/>
      <c r="M886" s="4"/>
      <c r="N886" s="11">
        <v>0</v>
      </c>
      <c r="O886" s="4"/>
      <c r="P886" s="4"/>
      <c r="Q886" s="11">
        <v>0</v>
      </c>
      <c r="R886" s="4"/>
      <c r="S886" s="12"/>
    </row>
    <row r="887" spans="1:19" x14ac:dyDescent="0.25">
      <c r="A887" s="9" t="s">
        <v>359</v>
      </c>
      <c r="B887" s="9" t="s">
        <v>359</v>
      </c>
      <c r="C887" s="4">
        <v>201002352</v>
      </c>
      <c r="D887" s="4"/>
      <c r="E887" s="4" t="str">
        <f>"047162010"</f>
        <v>047162010</v>
      </c>
      <c r="F887" s="10">
        <v>40252</v>
      </c>
      <c r="G887" s="11">
        <v>4378.8100000000004</v>
      </c>
      <c r="H887" s="11">
        <v>4378.8100000000004</v>
      </c>
      <c r="I887" s="4" t="s">
        <v>366</v>
      </c>
      <c r="J887" s="4" t="s">
        <v>367</v>
      </c>
      <c r="K887" s="11">
        <v>0</v>
      </c>
      <c r="L887" s="4"/>
      <c r="M887" s="4"/>
      <c r="N887" s="11">
        <v>0</v>
      </c>
      <c r="O887" s="4"/>
      <c r="P887" s="4"/>
      <c r="Q887" s="11">
        <v>0</v>
      </c>
      <c r="R887" s="4"/>
      <c r="S887" s="12"/>
    </row>
    <row r="888" spans="1:19" x14ac:dyDescent="0.25">
      <c r="A888" s="9" t="s">
        <v>359</v>
      </c>
      <c r="B888" s="9" t="s">
        <v>359</v>
      </c>
      <c r="C888" s="4">
        <v>201002356</v>
      </c>
      <c r="D888" s="4"/>
      <c r="E888" s="4" t="str">
        <f>"046902010"</f>
        <v>046902010</v>
      </c>
      <c r="F888" s="10">
        <v>40252</v>
      </c>
      <c r="G888" s="11">
        <v>4102.57</v>
      </c>
      <c r="H888" s="11">
        <v>4102.57</v>
      </c>
      <c r="I888" s="4" t="s">
        <v>366</v>
      </c>
      <c r="J888" s="4" t="s">
        <v>367</v>
      </c>
      <c r="K888" s="11">
        <v>0</v>
      </c>
      <c r="L888" s="4"/>
      <c r="M888" s="4"/>
      <c r="N888" s="11">
        <v>0</v>
      </c>
      <c r="O888" s="4"/>
      <c r="P888" s="4"/>
      <c r="Q888" s="11">
        <v>0</v>
      </c>
      <c r="R888" s="4"/>
      <c r="S888" s="12"/>
    </row>
    <row r="889" spans="1:19" x14ac:dyDescent="0.25">
      <c r="A889" s="9" t="s">
        <v>359</v>
      </c>
      <c r="B889" s="9" t="s">
        <v>359</v>
      </c>
      <c r="C889" s="4">
        <v>201002372</v>
      </c>
      <c r="D889" s="4" t="s">
        <v>1863</v>
      </c>
      <c r="E889" s="4" t="str">
        <f>"048082010"</f>
        <v>048082010</v>
      </c>
      <c r="F889" s="10">
        <v>40253</v>
      </c>
      <c r="G889" s="11">
        <v>27000</v>
      </c>
      <c r="H889" s="11">
        <v>27000</v>
      </c>
      <c r="I889" s="4" t="s">
        <v>366</v>
      </c>
      <c r="J889" s="4" t="s">
        <v>367</v>
      </c>
      <c r="K889" s="11">
        <v>0</v>
      </c>
      <c r="L889" s="4"/>
      <c r="M889" s="4"/>
      <c r="N889" s="11">
        <v>0</v>
      </c>
      <c r="O889" s="4"/>
      <c r="P889" s="4"/>
      <c r="Q889" s="11">
        <v>0</v>
      </c>
      <c r="R889" s="4"/>
      <c r="S889" s="12"/>
    </row>
    <row r="890" spans="1:19" x14ac:dyDescent="0.25">
      <c r="A890" s="9" t="s">
        <v>359</v>
      </c>
      <c r="B890" s="9" t="s">
        <v>359</v>
      </c>
      <c r="C890" s="4">
        <v>201002373</v>
      </c>
      <c r="D890" s="4"/>
      <c r="E890" s="4" t="str">
        <f>"047982010"</f>
        <v>047982010</v>
      </c>
      <c r="F890" s="10">
        <v>40253</v>
      </c>
      <c r="G890" s="11">
        <v>6382.08</v>
      </c>
      <c r="H890" s="11">
        <v>6382.08</v>
      </c>
      <c r="I890" s="4" t="s">
        <v>54</v>
      </c>
      <c r="J890" s="4" t="s">
        <v>55</v>
      </c>
      <c r="K890" s="11">
        <v>0</v>
      </c>
      <c r="L890" s="4"/>
      <c r="M890" s="4"/>
      <c r="N890" s="11">
        <v>0</v>
      </c>
      <c r="O890" s="4"/>
      <c r="P890" s="4"/>
      <c r="Q890" s="11">
        <v>0</v>
      </c>
      <c r="R890" s="4"/>
      <c r="S890" s="12"/>
    </row>
    <row r="891" spans="1:19" x14ac:dyDescent="0.25">
      <c r="A891" s="9" t="s">
        <v>359</v>
      </c>
      <c r="B891" s="9" t="s">
        <v>359</v>
      </c>
      <c r="C891" s="4">
        <v>201002384</v>
      </c>
      <c r="D891" s="4"/>
      <c r="E891" s="4" t="str">
        <f>"047962010"</f>
        <v>047962010</v>
      </c>
      <c r="F891" s="10">
        <v>40253</v>
      </c>
      <c r="G891" s="11">
        <v>2845.2</v>
      </c>
      <c r="H891" s="11">
        <v>2845.2</v>
      </c>
      <c r="I891" s="4" t="s">
        <v>366</v>
      </c>
      <c r="J891" s="4" t="s">
        <v>367</v>
      </c>
      <c r="K891" s="11">
        <v>0</v>
      </c>
      <c r="L891" s="4"/>
      <c r="M891" s="4"/>
      <c r="N891" s="11">
        <v>0</v>
      </c>
      <c r="O891" s="4"/>
      <c r="P891" s="4"/>
      <c r="Q891" s="11">
        <v>0</v>
      </c>
      <c r="R891" s="4"/>
      <c r="S891" s="12"/>
    </row>
    <row r="892" spans="1:19" x14ac:dyDescent="0.25">
      <c r="A892" s="9" t="s">
        <v>359</v>
      </c>
      <c r="B892" s="9" t="s">
        <v>359</v>
      </c>
      <c r="C892" s="4">
        <v>201002400</v>
      </c>
      <c r="D892" s="4"/>
      <c r="E892" s="4" t="str">
        <f>"053342010"</f>
        <v>053342010</v>
      </c>
      <c r="F892" s="10">
        <v>40273</v>
      </c>
      <c r="G892" s="11">
        <v>5628.92</v>
      </c>
      <c r="H892" s="11">
        <v>5628.92</v>
      </c>
      <c r="I892" s="4" t="s">
        <v>366</v>
      </c>
      <c r="J892" s="4" t="s">
        <v>367</v>
      </c>
      <c r="K892" s="11">
        <v>0</v>
      </c>
      <c r="L892" s="4"/>
      <c r="M892" s="4"/>
      <c r="N892" s="11">
        <v>0</v>
      </c>
      <c r="O892" s="4"/>
      <c r="P892" s="4"/>
      <c r="Q892" s="11">
        <v>0</v>
      </c>
      <c r="R892" s="4"/>
      <c r="S892" s="12"/>
    </row>
    <row r="893" spans="1:19" x14ac:dyDescent="0.25">
      <c r="A893" s="9" t="s">
        <v>359</v>
      </c>
      <c r="B893" s="9" t="s">
        <v>359</v>
      </c>
      <c r="C893" s="4">
        <v>201002401</v>
      </c>
      <c r="D893" s="4"/>
      <c r="E893" s="4" t="str">
        <f>"048942010"</f>
        <v>048942010</v>
      </c>
      <c r="F893" s="10">
        <v>40259</v>
      </c>
      <c r="G893" s="11">
        <v>3099.29</v>
      </c>
      <c r="H893" s="11">
        <v>3099.29</v>
      </c>
      <c r="I893" s="4" t="s">
        <v>366</v>
      </c>
      <c r="J893" s="4" t="s">
        <v>367</v>
      </c>
      <c r="K893" s="11">
        <v>0</v>
      </c>
      <c r="L893" s="4"/>
      <c r="M893" s="4"/>
      <c r="N893" s="11">
        <v>0</v>
      </c>
      <c r="O893" s="4"/>
      <c r="P893" s="4"/>
      <c r="Q893" s="11">
        <v>0</v>
      </c>
      <c r="R893" s="4"/>
      <c r="S893" s="12"/>
    </row>
    <row r="894" spans="1:19" x14ac:dyDescent="0.25">
      <c r="A894" s="9" t="s">
        <v>359</v>
      </c>
      <c r="B894" s="9" t="s">
        <v>359</v>
      </c>
      <c r="C894" s="4">
        <v>201002424</v>
      </c>
      <c r="D894" s="4"/>
      <c r="E894" s="4" t="str">
        <f>"048772010"</f>
        <v>048772010</v>
      </c>
      <c r="F894" s="10">
        <v>40259</v>
      </c>
      <c r="G894" s="11">
        <v>2636.69</v>
      </c>
      <c r="H894" s="11">
        <v>2636.69</v>
      </c>
      <c r="I894" s="4" t="s">
        <v>366</v>
      </c>
      <c r="J894" s="4" t="s">
        <v>367</v>
      </c>
      <c r="K894" s="11">
        <v>0</v>
      </c>
      <c r="L894" s="4"/>
      <c r="M894" s="4"/>
      <c r="N894" s="11">
        <v>0</v>
      </c>
      <c r="O894" s="4"/>
      <c r="P894" s="4"/>
      <c r="Q894" s="11">
        <v>0</v>
      </c>
      <c r="R894" s="4"/>
      <c r="S894" s="12"/>
    </row>
    <row r="895" spans="1:19" x14ac:dyDescent="0.25">
      <c r="A895" s="9" t="s">
        <v>359</v>
      </c>
      <c r="B895" s="9" t="s">
        <v>359</v>
      </c>
      <c r="C895" s="4">
        <v>201002430</v>
      </c>
      <c r="D895" s="4" t="s">
        <v>1864</v>
      </c>
      <c r="E895" s="4" t="str">
        <f>"048502010"</f>
        <v>048502010</v>
      </c>
      <c r="F895" s="10">
        <v>40255</v>
      </c>
      <c r="G895" s="11">
        <v>4000</v>
      </c>
      <c r="H895" s="11">
        <v>4000</v>
      </c>
      <c r="I895" s="4" t="s">
        <v>366</v>
      </c>
      <c r="J895" s="4" t="s">
        <v>367</v>
      </c>
      <c r="K895" s="11">
        <v>0</v>
      </c>
      <c r="L895" s="4"/>
      <c r="M895" s="4"/>
      <c r="N895" s="11">
        <v>0</v>
      </c>
      <c r="O895" s="4"/>
      <c r="P895" s="4"/>
      <c r="Q895" s="11">
        <v>0</v>
      </c>
      <c r="R895" s="4"/>
      <c r="S895" s="12"/>
    </row>
    <row r="896" spans="1:19" x14ac:dyDescent="0.25">
      <c r="A896" s="9" t="s">
        <v>359</v>
      </c>
      <c r="B896" s="9" t="s">
        <v>359</v>
      </c>
      <c r="C896" s="4">
        <v>201002433</v>
      </c>
      <c r="D896" s="4" t="s">
        <v>1865</v>
      </c>
      <c r="E896" s="4" t="str">
        <f>"048482010"</f>
        <v>048482010</v>
      </c>
      <c r="F896" s="10">
        <v>40255</v>
      </c>
      <c r="G896" s="11">
        <v>13000</v>
      </c>
      <c r="H896" s="11">
        <v>13000</v>
      </c>
      <c r="I896" s="4" t="s">
        <v>366</v>
      </c>
      <c r="J896" s="4" t="s">
        <v>367</v>
      </c>
      <c r="K896" s="11">
        <v>0</v>
      </c>
      <c r="L896" s="4"/>
      <c r="M896" s="4"/>
      <c r="N896" s="11">
        <v>0</v>
      </c>
      <c r="O896" s="4"/>
      <c r="P896" s="4"/>
      <c r="Q896" s="11">
        <v>0</v>
      </c>
      <c r="R896" s="4"/>
      <c r="S896" s="12"/>
    </row>
    <row r="897" spans="1:19" x14ac:dyDescent="0.25">
      <c r="A897" s="9" t="s">
        <v>359</v>
      </c>
      <c r="B897" s="9" t="s">
        <v>359</v>
      </c>
      <c r="C897" s="4">
        <v>201002434</v>
      </c>
      <c r="D897" s="4" t="s">
        <v>1866</v>
      </c>
      <c r="E897" s="4" t="str">
        <f>"049122010"</f>
        <v>049122010</v>
      </c>
      <c r="F897" s="10">
        <v>40259</v>
      </c>
      <c r="G897" s="11">
        <v>185000</v>
      </c>
      <c r="H897" s="11">
        <v>185000</v>
      </c>
      <c r="I897" s="4" t="s">
        <v>687</v>
      </c>
      <c r="J897" s="4" t="s">
        <v>688</v>
      </c>
      <c r="K897" s="11">
        <v>0</v>
      </c>
      <c r="L897" s="4"/>
      <c r="M897" s="4"/>
      <c r="N897" s="11">
        <v>0</v>
      </c>
      <c r="O897" s="4"/>
      <c r="P897" s="4"/>
      <c r="Q897" s="11">
        <v>0</v>
      </c>
      <c r="R897" s="4"/>
      <c r="S897" s="12"/>
    </row>
    <row r="898" spans="1:19" x14ac:dyDescent="0.25">
      <c r="A898" s="9" t="s">
        <v>359</v>
      </c>
      <c r="B898" s="9" t="s">
        <v>359</v>
      </c>
      <c r="C898" s="4">
        <v>201002440</v>
      </c>
      <c r="D898" s="4"/>
      <c r="E898" s="4" t="str">
        <f>"048982010"</f>
        <v>048982010</v>
      </c>
      <c r="F898" s="10">
        <v>40259</v>
      </c>
      <c r="G898" s="11">
        <v>4993.3100000000004</v>
      </c>
      <c r="H898" s="11">
        <v>4993.3100000000004</v>
      </c>
      <c r="I898" s="4" t="s">
        <v>366</v>
      </c>
      <c r="J898" s="4" t="s">
        <v>367</v>
      </c>
      <c r="K898" s="11">
        <v>0</v>
      </c>
      <c r="L898" s="4"/>
      <c r="M898" s="4"/>
      <c r="N898" s="11">
        <v>0</v>
      </c>
      <c r="O898" s="4"/>
      <c r="P898" s="4"/>
      <c r="Q898" s="11">
        <v>0</v>
      </c>
      <c r="R898" s="4"/>
      <c r="S898" s="12"/>
    </row>
    <row r="899" spans="1:19" x14ac:dyDescent="0.25">
      <c r="A899" s="9" t="s">
        <v>359</v>
      </c>
      <c r="B899" s="9" t="s">
        <v>359</v>
      </c>
      <c r="C899" s="4">
        <v>201002442</v>
      </c>
      <c r="D899" s="4"/>
      <c r="E899" s="4" t="str">
        <f>"049262010"</f>
        <v>049262010</v>
      </c>
      <c r="F899" s="10">
        <v>40259</v>
      </c>
      <c r="G899" s="11">
        <v>4888.0200000000004</v>
      </c>
      <c r="H899" s="11">
        <v>4888.0200000000004</v>
      </c>
      <c r="I899" s="4" t="s">
        <v>366</v>
      </c>
      <c r="J899" s="4" t="s">
        <v>367</v>
      </c>
      <c r="K899" s="11">
        <v>0</v>
      </c>
      <c r="L899" s="4"/>
      <c r="M899" s="4"/>
      <c r="N899" s="11">
        <v>0</v>
      </c>
      <c r="O899" s="4"/>
      <c r="P899" s="4"/>
      <c r="Q899" s="11">
        <v>0</v>
      </c>
      <c r="R899" s="4"/>
      <c r="S899" s="12"/>
    </row>
    <row r="900" spans="1:19" x14ac:dyDescent="0.25">
      <c r="A900" s="9" t="s">
        <v>359</v>
      </c>
      <c r="B900" s="9" t="s">
        <v>359</v>
      </c>
      <c r="C900" s="4">
        <v>201002457</v>
      </c>
      <c r="D900" s="4" t="s">
        <v>1867</v>
      </c>
      <c r="E900" s="4" t="str">
        <f>"049302010"</f>
        <v>049302010</v>
      </c>
      <c r="F900" s="10">
        <v>40260</v>
      </c>
      <c r="G900" s="11">
        <v>5000</v>
      </c>
      <c r="H900" s="11">
        <v>5000</v>
      </c>
      <c r="I900" s="4" t="s">
        <v>366</v>
      </c>
      <c r="J900" s="4" t="s">
        <v>367</v>
      </c>
      <c r="K900" s="11">
        <v>0</v>
      </c>
      <c r="L900" s="4"/>
      <c r="M900" s="4"/>
      <c r="N900" s="11">
        <v>0</v>
      </c>
      <c r="O900" s="4"/>
      <c r="P900" s="4"/>
      <c r="Q900" s="11">
        <v>0</v>
      </c>
      <c r="R900" s="4"/>
      <c r="S900" s="12"/>
    </row>
    <row r="901" spans="1:19" x14ac:dyDescent="0.25">
      <c r="A901" s="9" t="s">
        <v>359</v>
      </c>
      <c r="B901" s="9" t="s">
        <v>359</v>
      </c>
      <c r="C901" s="4">
        <v>201002462</v>
      </c>
      <c r="D901" s="4" t="s">
        <v>1868</v>
      </c>
      <c r="E901" s="4" t="str">
        <f>"049282010"</f>
        <v>049282010</v>
      </c>
      <c r="F901" s="10">
        <v>40260</v>
      </c>
      <c r="G901" s="11">
        <v>5500</v>
      </c>
      <c r="H901" s="11">
        <v>5500</v>
      </c>
      <c r="I901" s="4" t="s">
        <v>366</v>
      </c>
      <c r="J901" s="4" t="s">
        <v>367</v>
      </c>
      <c r="K901" s="11">
        <v>0</v>
      </c>
      <c r="L901" s="4"/>
      <c r="M901" s="4"/>
      <c r="N901" s="11">
        <v>0</v>
      </c>
      <c r="O901" s="4"/>
      <c r="P901" s="4"/>
      <c r="Q901" s="11">
        <v>0</v>
      </c>
      <c r="R901" s="4"/>
      <c r="S901" s="12"/>
    </row>
    <row r="902" spans="1:19" x14ac:dyDescent="0.25">
      <c r="A902" s="9" t="s">
        <v>359</v>
      </c>
      <c r="B902" s="9" t="s">
        <v>359</v>
      </c>
      <c r="C902" s="4">
        <v>201002482</v>
      </c>
      <c r="D902" s="4" t="s">
        <v>1869</v>
      </c>
      <c r="E902" s="4" t="str">
        <f>"052502010"</f>
        <v>052502010</v>
      </c>
      <c r="F902" s="10">
        <v>40270</v>
      </c>
      <c r="G902" s="11">
        <v>7500</v>
      </c>
      <c r="H902" s="11">
        <v>7500</v>
      </c>
      <c r="I902" s="4" t="s">
        <v>366</v>
      </c>
      <c r="J902" s="4" t="s">
        <v>367</v>
      </c>
      <c r="K902" s="11">
        <v>0</v>
      </c>
      <c r="L902" s="4"/>
      <c r="M902" s="4"/>
      <c r="N902" s="11">
        <v>0</v>
      </c>
      <c r="O902" s="4"/>
      <c r="P902" s="4"/>
      <c r="Q902" s="11">
        <v>0</v>
      </c>
      <c r="R902" s="4"/>
      <c r="S902" s="12"/>
    </row>
    <row r="903" spans="1:19" x14ac:dyDescent="0.25">
      <c r="A903" s="9" t="s">
        <v>359</v>
      </c>
      <c r="B903" s="9" t="s">
        <v>359</v>
      </c>
      <c r="C903" s="4">
        <v>201002483</v>
      </c>
      <c r="D903" s="4"/>
      <c r="E903" s="4" t="str">
        <f>"051302010"</f>
        <v>051302010</v>
      </c>
      <c r="F903" s="10">
        <v>40263</v>
      </c>
      <c r="G903" s="11">
        <v>2677.74</v>
      </c>
      <c r="H903" s="11">
        <v>2677.74</v>
      </c>
      <c r="I903" s="4" t="s">
        <v>366</v>
      </c>
      <c r="J903" s="4" t="s">
        <v>367</v>
      </c>
      <c r="K903" s="11">
        <v>0</v>
      </c>
      <c r="L903" s="4"/>
      <c r="M903" s="4"/>
      <c r="N903" s="11">
        <v>0</v>
      </c>
      <c r="O903" s="4"/>
      <c r="P903" s="4"/>
      <c r="Q903" s="11">
        <v>0</v>
      </c>
      <c r="R903" s="4"/>
      <c r="S903" s="12"/>
    </row>
    <row r="904" spans="1:19" x14ac:dyDescent="0.25">
      <c r="A904" s="9" t="s">
        <v>359</v>
      </c>
      <c r="B904" s="9" t="s">
        <v>359</v>
      </c>
      <c r="C904" s="4">
        <v>201002489</v>
      </c>
      <c r="D904" s="4"/>
      <c r="E904" s="4" t="str">
        <f>"050382010"</f>
        <v>050382010</v>
      </c>
      <c r="F904" s="10">
        <v>40263</v>
      </c>
      <c r="G904" s="11">
        <v>2504.0100000000002</v>
      </c>
      <c r="H904" s="11">
        <v>2504.0100000000002</v>
      </c>
      <c r="I904" s="4" t="s">
        <v>366</v>
      </c>
      <c r="J904" s="4" t="s">
        <v>367</v>
      </c>
      <c r="K904" s="11">
        <v>0</v>
      </c>
      <c r="L904" s="4"/>
      <c r="M904" s="4"/>
      <c r="N904" s="11">
        <v>0</v>
      </c>
      <c r="O904" s="4"/>
      <c r="P904" s="4"/>
      <c r="Q904" s="11">
        <v>0</v>
      </c>
      <c r="R904" s="4"/>
      <c r="S904" s="12"/>
    </row>
    <row r="905" spans="1:19" x14ac:dyDescent="0.25">
      <c r="A905" s="9" t="s">
        <v>359</v>
      </c>
      <c r="B905" s="9" t="s">
        <v>359</v>
      </c>
      <c r="C905" s="4">
        <v>201002491</v>
      </c>
      <c r="D905" s="4"/>
      <c r="E905" s="4" t="str">
        <f>"051582010"</f>
        <v>051582010</v>
      </c>
      <c r="F905" s="10">
        <v>40263</v>
      </c>
      <c r="G905" s="11">
        <v>5079.0200000000004</v>
      </c>
      <c r="H905" s="11">
        <v>5079.0200000000004</v>
      </c>
      <c r="I905" s="4" t="s">
        <v>366</v>
      </c>
      <c r="J905" s="4" t="s">
        <v>367</v>
      </c>
      <c r="K905" s="11">
        <v>0</v>
      </c>
      <c r="L905" s="4"/>
      <c r="M905" s="4"/>
      <c r="N905" s="11">
        <v>0</v>
      </c>
      <c r="O905" s="4"/>
      <c r="P905" s="4"/>
      <c r="Q905" s="11">
        <v>0</v>
      </c>
      <c r="R905" s="4"/>
      <c r="S905" s="12"/>
    </row>
    <row r="906" spans="1:19" x14ac:dyDescent="0.25">
      <c r="A906" s="9" t="s">
        <v>359</v>
      </c>
      <c r="B906" s="9" t="s">
        <v>359</v>
      </c>
      <c r="C906" s="4">
        <v>201002504</v>
      </c>
      <c r="D906" s="4"/>
      <c r="E906" s="4" t="str">
        <f>"051162010"</f>
        <v>051162010</v>
      </c>
      <c r="F906" s="10">
        <v>40263</v>
      </c>
      <c r="G906" s="11">
        <v>4945.82</v>
      </c>
      <c r="H906" s="11">
        <v>4945.82</v>
      </c>
      <c r="I906" s="4" t="s">
        <v>366</v>
      </c>
      <c r="J906" s="4" t="s">
        <v>367</v>
      </c>
      <c r="K906" s="11">
        <v>0</v>
      </c>
      <c r="L906" s="4"/>
      <c r="M906" s="4"/>
      <c r="N906" s="11">
        <v>0</v>
      </c>
      <c r="O906" s="4"/>
      <c r="P906" s="4"/>
      <c r="Q906" s="11">
        <v>0</v>
      </c>
      <c r="R906" s="4"/>
      <c r="S906" s="12"/>
    </row>
    <row r="907" spans="1:19" x14ac:dyDescent="0.25">
      <c r="A907" s="9" t="s">
        <v>359</v>
      </c>
      <c r="B907" s="9" t="s">
        <v>359</v>
      </c>
      <c r="C907" s="4">
        <v>201002509</v>
      </c>
      <c r="D907" s="4" t="s">
        <v>1870</v>
      </c>
      <c r="E907" s="4" t="str">
        <f>"052482010"</f>
        <v>052482010</v>
      </c>
      <c r="F907" s="10">
        <v>40270</v>
      </c>
      <c r="G907" s="11">
        <v>16000</v>
      </c>
      <c r="H907" s="11">
        <v>16000</v>
      </c>
      <c r="I907" s="4" t="s">
        <v>366</v>
      </c>
      <c r="J907" s="4" t="s">
        <v>367</v>
      </c>
      <c r="K907" s="11">
        <v>0</v>
      </c>
      <c r="L907" s="4"/>
      <c r="M907" s="4"/>
      <c r="N907" s="11">
        <v>0</v>
      </c>
      <c r="O907" s="4"/>
      <c r="P907" s="4"/>
      <c r="Q907" s="11">
        <v>0</v>
      </c>
      <c r="R907" s="4"/>
      <c r="S907" s="12"/>
    </row>
    <row r="908" spans="1:19" x14ac:dyDescent="0.25">
      <c r="A908" s="9" t="s">
        <v>359</v>
      </c>
      <c r="B908" s="9" t="s">
        <v>359</v>
      </c>
      <c r="C908" s="4">
        <v>201002510</v>
      </c>
      <c r="D908" s="4" t="s">
        <v>1871</v>
      </c>
      <c r="E908" s="4" t="str">
        <f>"050542010"</f>
        <v>050542010</v>
      </c>
      <c r="F908" s="10">
        <v>40262</v>
      </c>
      <c r="G908" s="11">
        <v>40250</v>
      </c>
      <c r="H908" s="11">
        <v>40250</v>
      </c>
      <c r="I908" s="4" t="s">
        <v>366</v>
      </c>
      <c r="J908" s="4" t="s">
        <v>367</v>
      </c>
      <c r="K908" s="11">
        <v>0</v>
      </c>
      <c r="L908" s="4"/>
      <c r="M908" s="4"/>
      <c r="N908" s="11">
        <v>0</v>
      </c>
      <c r="O908" s="4"/>
      <c r="P908" s="4"/>
      <c r="Q908" s="11">
        <v>0</v>
      </c>
      <c r="R908" s="4"/>
      <c r="S908" s="12"/>
    </row>
    <row r="909" spans="1:19" x14ac:dyDescent="0.25">
      <c r="A909" s="9" t="s">
        <v>359</v>
      </c>
      <c r="B909" s="9" t="s">
        <v>359</v>
      </c>
      <c r="C909" s="4">
        <v>201002511</v>
      </c>
      <c r="D909" s="4" t="s">
        <v>1871</v>
      </c>
      <c r="E909" s="4" t="str">
        <f>"049802010"</f>
        <v>049802010</v>
      </c>
      <c r="F909" s="10">
        <v>40262</v>
      </c>
      <c r="G909" s="11">
        <v>22000</v>
      </c>
      <c r="H909" s="11">
        <v>22000</v>
      </c>
      <c r="I909" s="4" t="s">
        <v>366</v>
      </c>
      <c r="J909" s="4" t="s">
        <v>367</v>
      </c>
      <c r="K909" s="11">
        <v>0</v>
      </c>
      <c r="L909" s="4"/>
      <c r="M909" s="4"/>
      <c r="N909" s="11">
        <v>0</v>
      </c>
      <c r="O909" s="4"/>
      <c r="P909" s="4"/>
      <c r="Q909" s="11">
        <v>0</v>
      </c>
      <c r="R909" s="4"/>
      <c r="S909" s="12"/>
    </row>
    <row r="910" spans="1:19" x14ac:dyDescent="0.25">
      <c r="A910" s="9" t="s">
        <v>359</v>
      </c>
      <c r="B910" s="9" t="s">
        <v>359</v>
      </c>
      <c r="C910" s="4">
        <v>201002534</v>
      </c>
      <c r="D910" s="4"/>
      <c r="E910" s="4" t="str">
        <f>"052102010"</f>
        <v>052102010</v>
      </c>
      <c r="F910" s="10">
        <v>40270</v>
      </c>
      <c r="G910" s="11">
        <v>2950.28</v>
      </c>
      <c r="H910" s="11">
        <v>2950.28</v>
      </c>
      <c r="I910" s="4" t="s">
        <v>366</v>
      </c>
      <c r="J910" s="4" t="s">
        <v>367</v>
      </c>
      <c r="K910" s="11">
        <v>0</v>
      </c>
      <c r="L910" s="4"/>
      <c r="M910" s="4"/>
      <c r="N910" s="11">
        <v>0</v>
      </c>
      <c r="O910" s="4"/>
      <c r="P910" s="4"/>
      <c r="Q910" s="11">
        <v>0</v>
      </c>
      <c r="R910" s="4"/>
      <c r="S910" s="12"/>
    </row>
    <row r="911" spans="1:19" x14ac:dyDescent="0.25">
      <c r="A911" s="9" t="s">
        <v>359</v>
      </c>
      <c r="B911" s="9" t="s">
        <v>359</v>
      </c>
      <c r="C911" s="4">
        <v>201002538</v>
      </c>
      <c r="D911" s="4"/>
      <c r="E911" s="4" t="str">
        <f>"052122010"</f>
        <v>052122010</v>
      </c>
      <c r="F911" s="10">
        <v>40270</v>
      </c>
      <c r="G911" s="11">
        <v>5310.24</v>
      </c>
      <c r="H911" s="11">
        <v>5310.24</v>
      </c>
      <c r="I911" s="4" t="s">
        <v>366</v>
      </c>
      <c r="J911" s="4" t="s">
        <v>367</v>
      </c>
      <c r="K911" s="11">
        <v>0</v>
      </c>
      <c r="L911" s="4"/>
      <c r="M911" s="4"/>
      <c r="N911" s="11">
        <v>0</v>
      </c>
      <c r="O911" s="4"/>
      <c r="P911" s="4"/>
      <c r="Q911" s="11">
        <v>0</v>
      </c>
      <c r="R911" s="4"/>
      <c r="S911" s="12"/>
    </row>
    <row r="912" spans="1:19" x14ac:dyDescent="0.25">
      <c r="A912" s="9" t="s">
        <v>359</v>
      </c>
      <c r="B912" s="9" t="s">
        <v>359</v>
      </c>
      <c r="C912" s="4">
        <v>201002542</v>
      </c>
      <c r="D912" s="4" t="s">
        <v>1872</v>
      </c>
      <c r="E912" s="4" t="str">
        <f>"052982010"</f>
        <v>052982010</v>
      </c>
      <c r="F912" s="10">
        <v>40266</v>
      </c>
      <c r="G912" s="11">
        <v>300000</v>
      </c>
      <c r="H912" s="11">
        <v>300000</v>
      </c>
      <c r="I912" s="4" t="s">
        <v>687</v>
      </c>
      <c r="J912" s="4" t="s">
        <v>688</v>
      </c>
      <c r="K912" s="11">
        <v>0</v>
      </c>
      <c r="L912" s="4"/>
      <c r="M912" s="4"/>
      <c r="N912" s="11">
        <v>0</v>
      </c>
      <c r="O912" s="4"/>
      <c r="P912" s="4"/>
      <c r="Q912" s="11">
        <v>0</v>
      </c>
      <c r="R912" s="4"/>
      <c r="S912" s="12"/>
    </row>
    <row r="913" spans="1:19" x14ac:dyDescent="0.25">
      <c r="A913" s="9" t="s">
        <v>359</v>
      </c>
      <c r="B913" s="9" t="s">
        <v>359</v>
      </c>
      <c r="C913" s="4">
        <v>201002591</v>
      </c>
      <c r="D913" s="4" t="s">
        <v>1873</v>
      </c>
      <c r="E913" s="4" t="str">
        <f>"053462010"</f>
        <v>053462010</v>
      </c>
      <c r="F913" s="10">
        <v>40273</v>
      </c>
      <c r="G913" s="11">
        <v>7500</v>
      </c>
      <c r="H913" s="11">
        <v>7500</v>
      </c>
      <c r="I913" s="4" t="s">
        <v>366</v>
      </c>
      <c r="J913" s="4" t="s">
        <v>367</v>
      </c>
      <c r="K913" s="11">
        <v>0</v>
      </c>
      <c r="L913" s="4"/>
      <c r="M913" s="4"/>
      <c r="N913" s="11">
        <v>0</v>
      </c>
      <c r="O913" s="4"/>
      <c r="P913" s="4"/>
      <c r="Q913" s="11">
        <v>0</v>
      </c>
      <c r="R913" s="4"/>
      <c r="S913" s="12"/>
    </row>
    <row r="914" spans="1:19" x14ac:dyDescent="0.25">
      <c r="A914" s="9" t="s">
        <v>359</v>
      </c>
      <c r="B914" s="9" t="s">
        <v>359</v>
      </c>
      <c r="C914" s="4">
        <v>201002634</v>
      </c>
      <c r="D914" s="4"/>
      <c r="E914" s="4" t="str">
        <f>"053542010"</f>
        <v>053542010</v>
      </c>
      <c r="F914" s="10">
        <v>40273</v>
      </c>
      <c r="G914" s="11">
        <v>2972.81</v>
      </c>
      <c r="H914" s="11">
        <v>2972.81</v>
      </c>
      <c r="I914" s="4" t="s">
        <v>366</v>
      </c>
      <c r="J914" s="4" t="s">
        <v>367</v>
      </c>
      <c r="K914" s="11">
        <v>0</v>
      </c>
      <c r="L914" s="4"/>
      <c r="M914" s="4"/>
      <c r="N914" s="11">
        <v>0</v>
      </c>
      <c r="O914" s="4"/>
      <c r="P914" s="4"/>
      <c r="Q914" s="11">
        <v>0</v>
      </c>
      <c r="R914" s="4"/>
      <c r="S914" s="12"/>
    </row>
    <row r="915" spans="1:19" x14ac:dyDescent="0.25">
      <c r="A915" s="9" t="s">
        <v>359</v>
      </c>
      <c r="B915" s="9" t="s">
        <v>359</v>
      </c>
      <c r="C915" s="4">
        <v>201002646</v>
      </c>
      <c r="D915" s="4"/>
      <c r="E915" s="4" t="str">
        <f>"053482010"</f>
        <v>053482010</v>
      </c>
      <c r="F915" s="10">
        <v>40273</v>
      </c>
      <c r="G915" s="11">
        <v>0</v>
      </c>
      <c r="H915" s="11">
        <v>4146.3</v>
      </c>
      <c r="I915" s="4" t="s">
        <v>366</v>
      </c>
      <c r="J915" s="4" t="s">
        <v>367</v>
      </c>
      <c r="K915" s="11">
        <v>0</v>
      </c>
      <c r="L915" s="4"/>
      <c r="M915" s="4"/>
      <c r="N915" s="11">
        <v>0</v>
      </c>
      <c r="O915" s="4"/>
      <c r="P915" s="4"/>
      <c r="Q915" s="11">
        <v>0</v>
      </c>
      <c r="R915" s="4"/>
      <c r="S915" s="12"/>
    </row>
    <row r="916" spans="1:19" x14ac:dyDescent="0.25">
      <c r="A916" s="9" t="s">
        <v>359</v>
      </c>
      <c r="B916" s="9" t="s">
        <v>359</v>
      </c>
      <c r="C916" s="4">
        <v>201002675</v>
      </c>
      <c r="D916" s="4"/>
      <c r="E916" s="4" t="str">
        <f>"053882010"</f>
        <v>053882010</v>
      </c>
      <c r="F916" s="10">
        <v>40270</v>
      </c>
      <c r="G916" s="11">
        <v>9522.9</v>
      </c>
      <c r="H916" s="11">
        <v>9522.9</v>
      </c>
      <c r="I916" s="4" t="s">
        <v>366</v>
      </c>
      <c r="J916" s="4" t="s">
        <v>367</v>
      </c>
      <c r="K916" s="11">
        <v>0</v>
      </c>
      <c r="L916" s="4"/>
      <c r="M916" s="4"/>
      <c r="N916" s="11">
        <v>0</v>
      </c>
      <c r="O916" s="4"/>
      <c r="P916" s="4"/>
      <c r="Q916" s="11">
        <v>0</v>
      </c>
      <c r="R916" s="4"/>
      <c r="S916" s="12"/>
    </row>
    <row r="917" spans="1:19" x14ac:dyDescent="0.25">
      <c r="A917" s="9" t="s">
        <v>359</v>
      </c>
      <c r="B917" s="9" t="s">
        <v>359</v>
      </c>
      <c r="C917" s="4">
        <v>201002686</v>
      </c>
      <c r="D917" s="4"/>
      <c r="E917" s="4" t="str">
        <f>"058692010"</f>
        <v>058692010</v>
      </c>
      <c r="F917" s="10">
        <v>40284</v>
      </c>
      <c r="G917" s="11">
        <v>9995.4599999999991</v>
      </c>
      <c r="H917" s="11">
        <v>9995.4599999999991</v>
      </c>
      <c r="I917" s="4" t="s">
        <v>366</v>
      </c>
      <c r="J917" s="4" t="s">
        <v>367</v>
      </c>
      <c r="K917" s="11">
        <v>0</v>
      </c>
      <c r="L917" s="4"/>
      <c r="M917" s="4"/>
      <c r="N917" s="11">
        <v>0</v>
      </c>
      <c r="O917" s="4"/>
      <c r="P917" s="4"/>
      <c r="Q917" s="11">
        <v>0</v>
      </c>
      <c r="R917" s="4"/>
      <c r="S917" s="12"/>
    </row>
    <row r="918" spans="1:19" x14ac:dyDescent="0.25">
      <c r="A918" s="9" t="s">
        <v>359</v>
      </c>
      <c r="B918" s="9" t="s">
        <v>359</v>
      </c>
      <c r="C918" s="4">
        <v>201002745</v>
      </c>
      <c r="D918" s="4"/>
      <c r="E918" s="4" t="str">
        <f>"056812010"</f>
        <v>056812010</v>
      </c>
      <c r="F918" s="10">
        <v>40277</v>
      </c>
      <c r="G918" s="11">
        <v>2577.09</v>
      </c>
      <c r="H918" s="11">
        <v>2577.09</v>
      </c>
      <c r="I918" s="4" t="s">
        <v>366</v>
      </c>
      <c r="J918" s="4" t="s">
        <v>367</v>
      </c>
      <c r="K918" s="11">
        <v>0</v>
      </c>
      <c r="L918" s="4"/>
      <c r="M918" s="4"/>
      <c r="N918" s="11">
        <v>0</v>
      </c>
      <c r="O918" s="4"/>
      <c r="P918" s="4"/>
      <c r="Q918" s="11">
        <v>0</v>
      </c>
      <c r="R918" s="4"/>
      <c r="S918" s="12"/>
    </row>
    <row r="919" spans="1:19" x14ac:dyDescent="0.25">
      <c r="A919" s="9" t="s">
        <v>359</v>
      </c>
      <c r="B919" s="9" t="s">
        <v>359</v>
      </c>
      <c r="C919" s="4">
        <v>201002750</v>
      </c>
      <c r="D919" s="4"/>
      <c r="E919" s="4" t="str">
        <f>"055592010"</f>
        <v>055592010</v>
      </c>
      <c r="F919" s="10">
        <v>40273</v>
      </c>
      <c r="G919" s="11">
        <v>3810.29</v>
      </c>
      <c r="H919" s="11">
        <v>3810.29</v>
      </c>
      <c r="I919" s="4" t="s">
        <v>366</v>
      </c>
      <c r="J919" s="4" t="s">
        <v>367</v>
      </c>
      <c r="K919" s="11">
        <v>0</v>
      </c>
      <c r="L919" s="4"/>
      <c r="M919" s="4"/>
      <c r="N919" s="11">
        <v>0</v>
      </c>
      <c r="O919" s="4"/>
      <c r="P919" s="4"/>
      <c r="Q919" s="11">
        <v>0</v>
      </c>
      <c r="R919" s="4"/>
      <c r="S919" s="12"/>
    </row>
    <row r="920" spans="1:19" x14ac:dyDescent="0.25">
      <c r="A920" s="9" t="s">
        <v>359</v>
      </c>
      <c r="B920" s="9" t="s">
        <v>359</v>
      </c>
      <c r="C920" s="4">
        <v>201002783</v>
      </c>
      <c r="D920" s="4"/>
      <c r="E920" s="4" t="str">
        <f>"056792010"</f>
        <v>056792010</v>
      </c>
      <c r="F920" s="10">
        <v>40277</v>
      </c>
      <c r="G920" s="11">
        <v>6433.89</v>
      </c>
      <c r="H920" s="11">
        <v>6433.89</v>
      </c>
      <c r="I920" s="4" t="s">
        <v>366</v>
      </c>
      <c r="J920" s="4" t="s">
        <v>367</v>
      </c>
      <c r="K920" s="11">
        <v>0</v>
      </c>
      <c r="L920" s="4"/>
      <c r="M920" s="4"/>
      <c r="N920" s="11">
        <v>0</v>
      </c>
      <c r="O920" s="4"/>
      <c r="P920" s="4"/>
      <c r="Q920" s="11">
        <v>0</v>
      </c>
      <c r="R920" s="4"/>
      <c r="S920" s="12"/>
    </row>
    <row r="921" spans="1:19" x14ac:dyDescent="0.25">
      <c r="A921" s="9" t="s">
        <v>359</v>
      </c>
      <c r="B921" s="9" t="s">
        <v>359</v>
      </c>
      <c r="C921" s="4">
        <v>201002793</v>
      </c>
      <c r="D921" s="4" t="s">
        <v>1874</v>
      </c>
      <c r="E921" s="4" t="str">
        <f>"056872010"</f>
        <v>056872010</v>
      </c>
      <c r="F921" s="10">
        <v>40277</v>
      </c>
      <c r="G921" s="11">
        <v>21626.11</v>
      </c>
      <c r="H921" s="11">
        <v>21626.11</v>
      </c>
      <c r="I921" s="4" t="s">
        <v>366</v>
      </c>
      <c r="J921" s="4" t="s">
        <v>367</v>
      </c>
      <c r="K921" s="11">
        <v>0</v>
      </c>
      <c r="L921" s="4"/>
      <c r="M921" s="4"/>
      <c r="N921" s="11">
        <v>0</v>
      </c>
      <c r="O921" s="4"/>
      <c r="P921" s="4"/>
      <c r="Q921" s="11">
        <v>0</v>
      </c>
      <c r="R921" s="4"/>
      <c r="S921" s="12"/>
    </row>
    <row r="922" spans="1:19" x14ac:dyDescent="0.25">
      <c r="A922" s="9" t="s">
        <v>359</v>
      </c>
      <c r="B922" s="9" t="s">
        <v>359</v>
      </c>
      <c r="C922" s="4">
        <v>201002802</v>
      </c>
      <c r="D922" s="4"/>
      <c r="E922" s="4" t="str">
        <f>"057322010"</f>
        <v>057322010</v>
      </c>
      <c r="F922" s="10">
        <v>40296</v>
      </c>
      <c r="G922" s="11">
        <v>3433.27</v>
      </c>
      <c r="H922" s="11">
        <v>3433.27</v>
      </c>
      <c r="I922" s="4" t="s">
        <v>366</v>
      </c>
      <c r="J922" s="4" t="s">
        <v>367</v>
      </c>
      <c r="K922" s="11">
        <v>0</v>
      </c>
      <c r="L922" s="4"/>
      <c r="M922" s="4"/>
      <c r="N922" s="11">
        <v>0</v>
      </c>
      <c r="O922" s="4"/>
      <c r="P922" s="4"/>
      <c r="Q922" s="11">
        <v>0</v>
      </c>
      <c r="R922" s="4"/>
      <c r="S922" s="12"/>
    </row>
    <row r="923" spans="1:19" x14ac:dyDescent="0.25">
      <c r="A923" s="9" t="s">
        <v>359</v>
      </c>
      <c r="B923" s="9" t="s">
        <v>359</v>
      </c>
      <c r="C923" s="4">
        <v>201002803</v>
      </c>
      <c r="D923" s="4"/>
      <c r="E923" s="4" t="str">
        <f>"057342010"</f>
        <v>057342010</v>
      </c>
      <c r="F923" s="10">
        <v>40296</v>
      </c>
      <c r="G923" s="11">
        <v>5003.58</v>
      </c>
      <c r="H923" s="11">
        <v>5003.58</v>
      </c>
      <c r="I923" s="4" t="s">
        <v>366</v>
      </c>
      <c r="J923" s="4" t="s">
        <v>367</v>
      </c>
      <c r="K923" s="11">
        <v>0</v>
      </c>
      <c r="L923" s="4"/>
      <c r="M923" s="4"/>
      <c r="N923" s="11">
        <v>0</v>
      </c>
      <c r="O923" s="4"/>
      <c r="P923" s="4"/>
      <c r="Q923" s="11">
        <v>0</v>
      </c>
      <c r="R923" s="4"/>
      <c r="S923" s="12"/>
    </row>
    <row r="924" spans="1:19" x14ac:dyDescent="0.25">
      <c r="A924" s="9" t="s">
        <v>359</v>
      </c>
      <c r="B924" s="9" t="s">
        <v>359</v>
      </c>
      <c r="C924" s="4">
        <v>201002818</v>
      </c>
      <c r="D924" s="4" t="s">
        <v>1875</v>
      </c>
      <c r="E924" s="4" t="str">
        <f>"056772010"</f>
        <v>056772010</v>
      </c>
      <c r="F924" s="10">
        <v>40277</v>
      </c>
      <c r="G924" s="11">
        <v>8531.4500000000007</v>
      </c>
      <c r="H924" s="11">
        <v>8531.4500000000007</v>
      </c>
      <c r="I924" s="4" t="s">
        <v>366</v>
      </c>
      <c r="J924" s="4" t="s">
        <v>367</v>
      </c>
      <c r="K924" s="11">
        <v>0</v>
      </c>
      <c r="L924" s="4"/>
      <c r="M924" s="4"/>
      <c r="N924" s="11">
        <v>0</v>
      </c>
      <c r="O924" s="4"/>
      <c r="P924" s="4"/>
      <c r="Q924" s="11">
        <v>0</v>
      </c>
      <c r="R924" s="4"/>
      <c r="S924" s="12"/>
    </row>
    <row r="925" spans="1:19" x14ac:dyDescent="0.25">
      <c r="A925" s="9" t="s">
        <v>359</v>
      </c>
      <c r="B925" s="9" t="s">
        <v>359</v>
      </c>
      <c r="C925" s="4">
        <v>201002821</v>
      </c>
      <c r="D925" s="4"/>
      <c r="E925" s="4" t="str">
        <f>"057302010"</f>
        <v>057302010</v>
      </c>
      <c r="F925" s="10">
        <v>40296</v>
      </c>
      <c r="G925" s="11">
        <v>2563.1</v>
      </c>
      <c r="H925" s="11">
        <v>2563.1</v>
      </c>
      <c r="I925" s="4" t="s">
        <v>366</v>
      </c>
      <c r="J925" s="4" t="s">
        <v>367</v>
      </c>
      <c r="K925" s="11">
        <v>0</v>
      </c>
      <c r="L925" s="4"/>
      <c r="M925" s="4"/>
      <c r="N925" s="11">
        <v>0</v>
      </c>
      <c r="O925" s="4"/>
      <c r="P925" s="4"/>
      <c r="Q925" s="11">
        <v>0</v>
      </c>
      <c r="R925" s="4"/>
      <c r="S925" s="12"/>
    </row>
    <row r="926" spans="1:19" x14ac:dyDescent="0.25">
      <c r="A926" s="9" t="s">
        <v>359</v>
      </c>
      <c r="B926" s="9" t="s">
        <v>359</v>
      </c>
      <c r="C926" s="4">
        <v>201002823</v>
      </c>
      <c r="D926" s="4" t="s">
        <v>1876</v>
      </c>
      <c r="E926" s="4" t="str">
        <f>"060302010"</f>
        <v>060302010</v>
      </c>
      <c r="F926" s="10">
        <v>40289</v>
      </c>
      <c r="G926" s="11">
        <v>100000</v>
      </c>
      <c r="H926" s="11">
        <v>100000</v>
      </c>
      <c r="I926" s="4" t="s">
        <v>687</v>
      </c>
      <c r="J926" s="4" t="s">
        <v>688</v>
      </c>
      <c r="K926" s="11">
        <v>0</v>
      </c>
      <c r="L926" s="4"/>
      <c r="M926" s="4"/>
      <c r="N926" s="11">
        <v>0</v>
      </c>
      <c r="O926" s="4"/>
      <c r="P926" s="4"/>
      <c r="Q926" s="11">
        <v>0</v>
      </c>
      <c r="R926" s="4"/>
      <c r="S926" s="12"/>
    </row>
    <row r="927" spans="1:19" x14ac:dyDescent="0.25">
      <c r="A927" s="9" t="s">
        <v>359</v>
      </c>
      <c r="B927" s="9" t="s">
        <v>359</v>
      </c>
      <c r="C927" s="4">
        <v>201002836</v>
      </c>
      <c r="D927" s="4" t="s">
        <v>1877</v>
      </c>
      <c r="E927" s="4" t="str">
        <f>"057262010"</f>
        <v>057262010</v>
      </c>
      <c r="F927" s="10">
        <v>40296</v>
      </c>
      <c r="G927" s="11">
        <v>20000</v>
      </c>
      <c r="H927" s="11">
        <v>20000</v>
      </c>
      <c r="I927" s="4" t="s">
        <v>366</v>
      </c>
      <c r="J927" s="4" t="s">
        <v>367</v>
      </c>
      <c r="K927" s="11">
        <v>0</v>
      </c>
      <c r="L927" s="4"/>
      <c r="M927" s="4"/>
      <c r="N927" s="11">
        <v>0</v>
      </c>
      <c r="O927" s="4"/>
      <c r="P927" s="4"/>
      <c r="Q927" s="11">
        <v>0</v>
      </c>
      <c r="R927" s="4"/>
      <c r="S927" s="12"/>
    </row>
    <row r="928" spans="1:19" x14ac:dyDescent="0.25">
      <c r="A928" s="9" t="s">
        <v>359</v>
      </c>
      <c r="B928" s="9" t="s">
        <v>359</v>
      </c>
      <c r="C928" s="4">
        <v>201002837</v>
      </c>
      <c r="D928" s="4" t="s">
        <v>1877</v>
      </c>
      <c r="E928" s="4" t="str">
        <f>"057242010"</f>
        <v>057242010</v>
      </c>
      <c r="F928" s="10">
        <v>40296</v>
      </c>
      <c r="G928" s="11">
        <v>10000</v>
      </c>
      <c r="H928" s="11">
        <v>10000</v>
      </c>
      <c r="I928" s="4" t="s">
        <v>366</v>
      </c>
      <c r="J928" s="4" t="s">
        <v>367</v>
      </c>
      <c r="K928" s="11">
        <v>0</v>
      </c>
      <c r="L928" s="4"/>
      <c r="M928" s="4"/>
      <c r="N928" s="11">
        <v>0</v>
      </c>
      <c r="O928" s="4"/>
      <c r="P928" s="4"/>
      <c r="Q928" s="11">
        <v>0</v>
      </c>
      <c r="R928" s="4"/>
      <c r="S928" s="12"/>
    </row>
    <row r="929" spans="1:19" x14ac:dyDescent="0.25">
      <c r="A929" s="9" t="s">
        <v>359</v>
      </c>
      <c r="B929" s="9" t="s">
        <v>359</v>
      </c>
      <c r="C929" s="4">
        <v>201002838</v>
      </c>
      <c r="D929" s="4" t="s">
        <v>1878</v>
      </c>
      <c r="E929" s="4" t="str">
        <f>"057682010"</f>
        <v>057682010</v>
      </c>
      <c r="F929" s="10">
        <v>40284</v>
      </c>
      <c r="G929" s="11">
        <v>10000</v>
      </c>
      <c r="H929" s="11">
        <v>10000</v>
      </c>
      <c r="I929" s="4" t="s">
        <v>366</v>
      </c>
      <c r="J929" s="4" t="s">
        <v>367</v>
      </c>
      <c r="K929" s="11">
        <v>0</v>
      </c>
      <c r="L929" s="4"/>
      <c r="M929" s="4"/>
      <c r="N929" s="11">
        <v>0</v>
      </c>
      <c r="O929" s="4"/>
      <c r="P929" s="4"/>
      <c r="Q929" s="11">
        <v>0</v>
      </c>
      <c r="R929" s="4"/>
      <c r="S929" s="12"/>
    </row>
    <row r="930" spans="1:19" x14ac:dyDescent="0.25">
      <c r="A930" s="9" t="s">
        <v>359</v>
      </c>
      <c r="B930" s="9" t="s">
        <v>359</v>
      </c>
      <c r="C930" s="4">
        <v>201002851</v>
      </c>
      <c r="D930" s="4" t="s">
        <v>1879</v>
      </c>
      <c r="E930" s="4" t="str">
        <f>"056312010"</f>
        <v>056312010</v>
      </c>
      <c r="F930" s="10">
        <v>40276</v>
      </c>
      <c r="G930" s="11">
        <v>8350</v>
      </c>
      <c r="H930" s="11">
        <v>8350</v>
      </c>
      <c r="I930" s="4" t="s">
        <v>366</v>
      </c>
      <c r="J930" s="4" t="s">
        <v>367</v>
      </c>
      <c r="K930" s="11">
        <v>0</v>
      </c>
      <c r="L930" s="4"/>
      <c r="M930" s="4"/>
      <c r="N930" s="11">
        <v>0</v>
      </c>
      <c r="O930" s="4"/>
      <c r="P930" s="4"/>
      <c r="Q930" s="11">
        <v>0</v>
      </c>
      <c r="R930" s="4"/>
      <c r="S930" s="12"/>
    </row>
    <row r="931" spans="1:19" x14ac:dyDescent="0.25">
      <c r="A931" s="9" t="s">
        <v>359</v>
      </c>
      <c r="B931" s="9" t="s">
        <v>359</v>
      </c>
      <c r="C931" s="4">
        <v>201002865</v>
      </c>
      <c r="D931" s="4" t="s">
        <v>1880</v>
      </c>
      <c r="E931" s="4" t="str">
        <f>"058272010"</f>
        <v>058272010</v>
      </c>
      <c r="F931" s="10">
        <v>40283</v>
      </c>
      <c r="G931" s="11">
        <v>30000</v>
      </c>
      <c r="H931" s="11">
        <v>30000</v>
      </c>
      <c r="I931" s="4" t="s">
        <v>366</v>
      </c>
      <c r="J931" s="4" t="s">
        <v>367</v>
      </c>
      <c r="K931" s="11">
        <v>0</v>
      </c>
      <c r="L931" s="4"/>
      <c r="M931" s="4"/>
      <c r="N931" s="11">
        <v>0</v>
      </c>
      <c r="O931" s="4"/>
      <c r="P931" s="4"/>
      <c r="Q931" s="11">
        <v>0</v>
      </c>
      <c r="R931" s="4"/>
      <c r="S931" s="12"/>
    </row>
    <row r="932" spans="1:19" x14ac:dyDescent="0.25">
      <c r="A932" s="9" t="s">
        <v>359</v>
      </c>
      <c r="B932" s="9" t="s">
        <v>359</v>
      </c>
      <c r="C932" s="4">
        <v>201002874</v>
      </c>
      <c r="D932" s="4"/>
      <c r="E932" s="4" t="str">
        <f>"058152010"</f>
        <v>058152010</v>
      </c>
      <c r="F932" s="10">
        <v>40284</v>
      </c>
      <c r="G932" s="11">
        <v>6771.83</v>
      </c>
      <c r="H932" s="11">
        <v>6771.83</v>
      </c>
      <c r="I932" s="4" t="s">
        <v>366</v>
      </c>
      <c r="J932" s="4" t="s">
        <v>367</v>
      </c>
      <c r="K932" s="11">
        <v>0</v>
      </c>
      <c r="L932" s="4"/>
      <c r="M932" s="4"/>
      <c r="N932" s="11">
        <v>0</v>
      </c>
      <c r="O932" s="4"/>
      <c r="P932" s="4"/>
      <c r="Q932" s="11">
        <v>0</v>
      </c>
      <c r="R932" s="4"/>
      <c r="S932" s="12"/>
    </row>
    <row r="933" spans="1:19" x14ac:dyDescent="0.25">
      <c r="A933" s="9" t="s">
        <v>359</v>
      </c>
      <c r="B933" s="9" t="s">
        <v>359</v>
      </c>
      <c r="C933" s="4">
        <v>201002877</v>
      </c>
      <c r="D933" s="4"/>
      <c r="E933" s="4" t="str">
        <f>"057462010"</f>
        <v>057462010</v>
      </c>
      <c r="F933" s="10">
        <v>40296</v>
      </c>
      <c r="G933" s="11">
        <v>5394.01</v>
      </c>
      <c r="H933" s="11">
        <v>5394.01</v>
      </c>
      <c r="I933" s="4" t="s">
        <v>366</v>
      </c>
      <c r="J933" s="4" t="s">
        <v>367</v>
      </c>
      <c r="K933" s="11">
        <v>0</v>
      </c>
      <c r="L933" s="4"/>
      <c r="M933" s="4"/>
      <c r="N933" s="11">
        <v>0</v>
      </c>
      <c r="O933" s="4"/>
      <c r="P933" s="4"/>
      <c r="Q933" s="11">
        <v>0</v>
      </c>
      <c r="R933" s="4"/>
      <c r="S933" s="12"/>
    </row>
    <row r="934" spans="1:19" x14ac:dyDescent="0.25">
      <c r="A934" s="9" t="s">
        <v>359</v>
      </c>
      <c r="B934" s="9" t="s">
        <v>359</v>
      </c>
      <c r="C934" s="4">
        <v>201002884</v>
      </c>
      <c r="D934" s="4"/>
      <c r="E934" s="4" t="str">
        <f>"058092010"</f>
        <v>058092010</v>
      </c>
      <c r="F934" s="10">
        <v>40284</v>
      </c>
      <c r="G934" s="11">
        <v>5187.0200000000004</v>
      </c>
      <c r="H934" s="11">
        <v>5187.0200000000004</v>
      </c>
      <c r="I934" s="4" t="s">
        <v>366</v>
      </c>
      <c r="J934" s="4" t="s">
        <v>367</v>
      </c>
      <c r="K934" s="11">
        <v>0</v>
      </c>
      <c r="L934" s="4"/>
      <c r="M934" s="4"/>
      <c r="N934" s="11">
        <v>0</v>
      </c>
      <c r="O934" s="4"/>
      <c r="P934" s="4"/>
      <c r="Q934" s="11">
        <v>0</v>
      </c>
      <c r="R934" s="4"/>
      <c r="S934" s="12"/>
    </row>
    <row r="935" spans="1:19" x14ac:dyDescent="0.25">
      <c r="A935" s="9" t="s">
        <v>359</v>
      </c>
      <c r="B935" s="9" t="s">
        <v>359</v>
      </c>
      <c r="C935" s="4">
        <v>201002885</v>
      </c>
      <c r="D935" s="4"/>
      <c r="E935" s="4" t="str">
        <f>"058212010"</f>
        <v>058212010</v>
      </c>
      <c r="F935" s="10">
        <v>40284</v>
      </c>
      <c r="G935" s="11">
        <v>6258.34</v>
      </c>
      <c r="H935" s="11">
        <v>6258.34</v>
      </c>
      <c r="I935" s="4" t="s">
        <v>366</v>
      </c>
      <c r="J935" s="4" t="s">
        <v>367</v>
      </c>
      <c r="K935" s="11">
        <v>0</v>
      </c>
      <c r="L935" s="4"/>
      <c r="M935" s="4"/>
      <c r="N935" s="11">
        <v>0</v>
      </c>
      <c r="O935" s="4"/>
      <c r="P935" s="4"/>
      <c r="Q935" s="11">
        <v>0</v>
      </c>
      <c r="R935" s="4"/>
      <c r="S935" s="12"/>
    </row>
    <row r="936" spans="1:19" x14ac:dyDescent="0.25">
      <c r="A936" s="9" t="s">
        <v>359</v>
      </c>
      <c r="B936" s="9" t="s">
        <v>359</v>
      </c>
      <c r="C936" s="4">
        <v>201002889</v>
      </c>
      <c r="D936" s="4"/>
      <c r="E936" s="4" t="str">
        <f>"058252010"</f>
        <v>058252010</v>
      </c>
      <c r="F936" s="10">
        <v>40284</v>
      </c>
      <c r="G936" s="11">
        <v>2761.08</v>
      </c>
      <c r="H936" s="11">
        <v>2761.08</v>
      </c>
      <c r="I936" s="4" t="s">
        <v>366</v>
      </c>
      <c r="J936" s="4" t="s">
        <v>367</v>
      </c>
      <c r="K936" s="11">
        <v>0</v>
      </c>
      <c r="L936" s="4"/>
      <c r="M936" s="4"/>
      <c r="N936" s="11">
        <v>0</v>
      </c>
      <c r="O936" s="4"/>
      <c r="P936" s="4"/>
      <c r="Q936" s="11">
        <v>0</v>
      </c>
      <c r="R936" s="4"/>
      <c r="S936" s="12"/>
    </row>
    <row r="937" spans="1:19" x14ac:dyDescent="0.25">
      <c r="A937" s="9" t="s">
        <v>359</v>
      </c>
      <c r="B937" s="9" t="s">
        <v>359</v>
      </c>
      <c r="C937" s="4">
        <v>201002891</v>
      </c>
      <c r="D937" s="4"/>
      <c r="E937" s="4" t="str">
        <f>"057582010"</f>
        <v>057582010</v>
      </c>
      <c r="F937" s="10">
        <v>40296</v>
      </c>
      <c r="G937" s="11">
        <v>10569.81</v>
      </c>
      <c r="H937" s="11">
        <v>10569.81</v>
      </c>
      <c r="I937" s="4" t="s">
        <v>366</v>
      </c>
      <c r="J937" s="4" t="s">
        <v>367</v>
      </c>
      <c r="K937" s="11">
        <v>0</v>
      </c>
      <c r="L937" s="4"/>
      <c r="M937" s="4"/>
      <c r="N937" s="11">
        <v>0</v>
      </c>
      <c r="O937" s="4"/>
      <c r="P937" s="4"/>
      <c r="Q937" s="11">
        <v>0</v>
      </c>
      <c r="R937" s="4"/>
      <c r="S937" s="12"/>
    </row>
    <row r="938" spans="1:19" x14ac:dyDescent="0.25">
      <c r="A938" s="9" t="s">
        <v>359</v>
      </c>
      <c r="B938" s="9" t="s">
        <v>359</v>
      </c>
      <c r="C938" s="4">
        <v>201002895</v>
      </c>
      <c r="D938" s="4" t="s">
        <v>1881</v>
      </c>
      <c r="E938" s="4" t="str">
        <f>"058852010"</f>
        <v>058852010</v>
      </c>
      <c r="F938" s="10">
        <v>40284</v>
      </c>
      <c r="G938" s="11">
        <v>4511</v>
      </c>
      <c r="H938" s="11">
        <v>4511</v>
      </c>
      <c r="I938" s="4" t="s">
        <v>366</v>
      </c>
      <c r="J938" s="4" t="s">
        <v>367</v>
      </c>
      <c r="K938" s="11">
        <v>0</v>
      </c>
      <c r="L938" s="4"/>
      <c r="M938" s="4"/>
      <c r="N938" s="11">
        <v>0</v>
      </c>
      <c r="O938" s="4"/>
      <c r="P938" s="4"/>
      <c r="Q938" s="11">
        <v>0</v>
      </c>
      <c r="R938" s="4"/>
      <c r="S938" s="12"/>
    </row>
    <row r="939" spans="1:19" x14ac:dyDescent="0.25">
      <c r="A939" s="9" t="s">
        <v>359</v>
      </c>
      <c r="B939" s="9" t="s">
        <v>359</v>
      </c>
      <c r="C939" s="4">
        <v>201002906</v>
      </c>
      <c r="D939" s="4"/>
      <c r="E939" s="4" t="str">
        <f>"058392010"</f>
        <v>058392010</v>
      </c>
      <c r="F939" s="10">
        <v>40284</v>
      </c>
      <c r="G939" s="11">
        <v>9227.4500000000007</v>
      </c>
      <c r="H939" s="11">
        <v>9227.4500000000007</v>
      </c>
      <c r="I939" s="4" t="s">
        <v>366</v>
      </c>
      <c r="J939" s="4" t="s">
        <v>367</v>
      </c>
      <c r="K939" s="11">
        <v>0</v>
      </c>
      <c r="L939" s="4"/>
      <c r="M939" s="4"/>
      <c r="N939" s="11">
        <v>0</v>
      </c>
      <c r="O939" s="4"/>
      <c r="P939" s="4"/>
      <c r="Q939" s="11">
        <v>0</v>
      </c>
      <c r="R939" s="4"/>
      <c r="S939" s="12"/>
    </row>
    <row r="940" spans="1:19" x14ac:dyDescent="0.25">
      <c r="A940" s="9" t="s">
        <v>359</v>
      </c>
      <c r="B940" s="9" t="s">
        <v>359</v>
      </c>
      <c r="C940" s="4">
        <v>201002959</v>
      </c>
      <c r="D940" s="4"/>
      <c r="E940" s="4" t="str">
        <f>"058932010"</f>
        <v>058932010</v>
      </c>
      <c r="F940" s="10">
        <v>40284</v>
      </c>
      <c r="G940" s="11">
        <v>4169.4799999999996</v>
      </c>
      <c r="H940" s="11">
        <v>4169.4799999999996</v>
      </c>
      <c r="I940" s="4" t="s">
        <v>366</v>
      </c>
      <c r="J940" s="4" t="s">
        <v>367</v>
      </c>
      <c r="K940" s="11">
        <v>0</v>
      </c>
      <c r="L940" s="4"/>
      <c r="M940" s="4"/>
      <c r="N940" s="11">
        <v>0</v>
      </c>
      <c r="O940" s="4"/>
      <c r="P940" s="4"/>
      <c r="Q940" s="11">
        <v>0</v>
      </c>
      <c r="R940" s="4"/>
      <c r="S940" s="12"/>
    </row>
    <row r="941" spans="1:19" x14ac:dyDescent="0.25">
      <c r="A941" s="9" t="s">
        <v>359</v>
      </c>
      <c r="B941" s="9" t="s">
        <v>359</v>
      </c>
      <c r="C941" s="4">
        <v>201002963</v>
      </c>
      <c r="D941" s="4"/>
      <c r="E941" s="4" t="str">
        <f>"058912010"</f>
        <v>058912010</v>
      </c>
      <c r="F941" s="10">
        <v>40284</v>
      </c>
      <c r="G941" s="11">
        <v>3368.12</v>
      </c>
      <c r="H941" s="11">
        <v>3368.12</v>
      </c>
      <c r="I941" s="4" t="s">
        <v>366</v>
      </c>
      <c r="J941" s="4" t="s">
        <v>367</v>
      </c>
      <c r="K941" s="11">
        <v>0</v>
      </c>
      <c r="L941" s="4"/>
      <c r="M941" s="4"/>
      <c r="N941" s="11">
        <v>0</v>
      </c>
      <c r="O941" s="4"/>
      <c r="P941" s="4"/>
      <c r="Q941" s="11">
        <v>0</v>
      </c>
      <c r="R941" s="4"/>
      <c r="S941" s="12"/>
    </row>
    <row r="942" spans="1:19" x14ac:dyDescent="0.25">
      <c r="A942" s="9" t="s">
        <v>359</v>
      </c>
      <c r="B942" s="9" t="s">
        <v>359</v>
      </c>
      <c r="C942" s="4">
        <v>201002969</v>
      </c>
      <c r="D942" s="4"/>
      <c r="E942" s="4" t="str">
        <f>"059532010"</f>
        <v>059532010</v>
      </c>
      <c r="F942" s="10">
        <v>40287</v>
      </c>
      <c r="G942" s="11">
        <v>2993.57</v>
      </c>
      <c r="H942" s="11">
        <v>2993.57</v>
      </c>
      <c r="I942" s="4" t="s">
        <v>366</v>
      </c>
      <c r="J942" s="4" t="s">
        <v>367</v>
      </c>
      <c r="K942" s="11">
        <v>0</v>
      </c>
      <c r="L942" s="4"/>
      <c r="M942" s="4"/>
      <c r="N942" s="11">
        <v>0</v>
      </c>
      <c r="O942" s="4"/>
      <c r="P942" s="4"/>
      <c r="Q942" s="11">
        <v>0</v>
      </c>
      <c r="R942" s="4"/>
      <c r="S942" s="12"/>
    </row>
    <row r="943" spans="1:19" x14ac:dyDescent="0.25">
      <c r="A943" s="9" t="s">
        <v>359</v>
      </c>
      <c r="B943" s="9" t="s">
        <v>359</v>
      </c>
      <c r="C943" s="4">
        <v>201002971</v>
      </c>
      <c r="D943" s="4"/>
      <c r="E943" s="4" t="str">
        <f>"059512010"</f>
        <v>059512010</v>
      </c>
      <c r="F943" s="10">
        <v>40287</v>
      </c>
      <c r="G943" s="11">
        <v>4113.96</v>
      </c>
      <c r="H943" s="11">
        <v>4113.96</v>
      </c>
      <c r="I943" s="4" t="s">
        <v>366</v>
      </c>
      <c r="J943" s="4" t="s">
        <v>367</v>
      </c>
      <c r="K943" s="11">
        <v>0</v>
      </c>
      <c r="L943" s="4"/>
      <c r="M943" s="4"/>
      <c r="N943" s="11">
        <v>0</v>
      </c>
      <c r="O943" s="4"/>
      <c r="P943" s="4"/>
      <c r="Q943" s="11">
        <v>0</v>
      </c>
      <c r="R943" s="4"/>
      <c r="S943" s="12"/>
    </row>
    <row r="944" spans="1:19" x14ac:dyDescent="0.25">
      <c r="A944" s="9" t="s">
        <v>359</v>
      </c>
      <c r="B944" s="9" t="s">
        <v>359</v>
      </c>
      <c r="C944" s="4">
        <v>201002972</v>
      </c>
      <c r="D944" s="4"/>
      <c r="E944" s="4" t="str">
        <f>"059832010"</f>
        <v>059832010</v>
      </c>
      <c r="F944" s="10">
        <v>40288</v>
      </c>
      <c r="G944" s="11">
        <v>4308.7700000000004</v>
      </c>
      <c r="H944" s="11">
        <v>4308.7700000000004</v>
      </c>
      <c r="I944" s="4" t="s">
        <v>54</v>
      </c>
      <c r="J944" s="4" t="s">
        <v>55</v>
      </c>
      <c r="K944" s="11">
        <v>0</v>
      </c>
      <c r="L944" s="4"/>
      <c r="M944" s="4"/>
      <c r="N944" s="11">
        <v>0</v>
      </c>
      <c r="O944" s="4"/>
      <c r="P944" s="4"/>
      <c r="Q944" s="11">
        <v>0</v>
      </c>
      <c r="R944" s="4"/>
      <c r="S944" s="12"/>
    </row>
    <row r="945" spans="1:19" x14ac:dyDescent="0.25">
      <c r="A945" s="9" t="s">
        <v>359</v>
      </c>
      <c r="B945" s="9" t="s">
        <v>359</v>
      </c>
      <c r="C945" s="4">
        <v>201002990</v>
      </c>
      <c r="D945" s="4"/>
      <c r="E945" s="4" t="str">
        <f>"060542010"</f>
        <v>060542010</v>
      </c>
      <c r="F945" s="10">
        <v>40290</v>
      </c>
      <c r="G945" s="11">
        <v>6953.16</v>
      </c>
      <c r="H945" s="11">
        <v>6953.16</v>
      </c>
      <c r="I945" s="4" t="s">
        <v>366</v>
      </c>
      <c r="J945" s="4" t="s">
        <v>367</v>
      </c>
      <c r="K945" s="11">
        <v>0</v>
      </c>
      <c r="L945" s="4"/>
      <c r="M945" s="4"/>
      <c r="N945" s="11">
        <v>0</v>
      </c>
      <c r="O945" s="4"/>
      <c r="P945" s="4"/>
      <c r="Q945" s="11">
        <v>0</v>
      </c>
      <c r="R945" s="4"/>
      <c r="S945" s="12"/>
    </row>
    <row r="946" spans="1:19" x14ac:dyDescent="0.25">
      <c r="A946" s="9" t="s">
        <v>359</v>
      </c>
      <c r="B946" s="9" t="s">
        <v>359</v>
      </c>
      <c r="C946" s="4">
        <v>201002992</v>
      </c>
      <c r="D946" s="4"/>
      <c r="E946" s="4" t="str">
        <f>"060482010"</f>
        <v>060482010</v>
      </c>
      <c r="F946" s="10">
        <v>40290</v>
      </c>
      <c r="G946" s="11">
        <v>4852.97</v>
      </c>
      <c r="H946" s="11">
        <v>4852.97</v>
      </c>
      <c r="I946" s="4" t="s">
        <v>366</v>
      </c>
      <c r="J946" s="4" t="s">
        <v>367</v>
      </c>
      <c r="K946" s="11">
        <v>0</v>
      </c>
      <c r="L946" s="4"/>
      <c r="M946" s="4"/>
      <c r="N946" s="11">
        <v>0</v>
      </c>
      <c r="O946" s="4"/>
      <c r="P946" s="4"/>
      <c r="Q946" s="11">
        <v>0</v>
      </c>
      <c r="R946" s="4"/>
      <c r="S946" s="12"/>
    </row>
    <row r="947" spans="1:19" x14ac:dyDescent="0.25">
      <c r="A947" s="9" t="s">
        <v>359</v>
      </c>
      <c r="B947" s="9" t="s">
        <v>359</v>
      </c>
      <c r="C947" s="4">
        <v>201002996</v>
      </c>
      <c r="D947" s="4"/>
      <c r="E947" s="4" t="str">
        <f>"060602010"</f>
        <v>060602010</v>
      </c>
      <c r="F947" s="10">
        <v>40290</v>
      </c>
      <c r="G947" s="11">
        <v>14262.29</v>
      </c>
      <c r="H947" s="11">
        <v>14262.29</v>
      </c>
      <c r="I947" s="4" t="s">
        <v>366</v>
      </c>
      <c r="J947" s="4" t="s">
        <v>367</v>
      </c>
      <c r="K947" s="11">
        <v>0</v>
      </c>
      <c r="L947" s="4"/>
      <c r="M947" s="4"/>
      <c r="N947" s="11">
        <v>0</v>
      </c>
      <c r="O947" s="4"/>
      <c r="P947" s="4"/>
      <c r="Q947" s="11">
        <v>0</v>
      </c>
      <c r="R947" s="4"/>
      <c r="S947" s="12"/>
    </row>
    <row r="948" spans="1:19" x14ac:dyDescent="0.25">
      <c r="A948" s="9" t="s">
        <v>359</v>
      </c>
      <c r="B948" s="9" t="s">
        <v>359</v>
      </c>
      <c r="C948" s="4">
        <v>201003005</v>
      </c>
      <c r="D948" s="4" t="s">
        <v>1882</v>
      </c>
      <c r="E948" s="4" t="str">
        <f>"060502010"</f>
        <v>060502010</v>
      </c>
      <c r="F948" s="10">
        <v>40290</v>
      </c>
      <c r="G948" s="11">
        <v>16000</v>
      </c>
      <c r="H948" s="11">
        <v>16000</v>
      </c>
      <c r="I948" s="4" t="s">
        <v>366</v>
      </c>
      <c r="J948" s="4" t="s">
        <v>367</v>
      </c>
      <c r="K948" s="11">
        <v>0</v>
      </c>
      <c r="L948" s="4"/>
      <c r="M948" s="4"/>
      <c r="N948" s="11">
        <v>0</v>
      </c>
      <c r="O948" s="4"/>
      <c r="P948" s="4"/>
      <c r="Q948" s="11">
        <v>0</v>
      </c>
      <c r="R948" s="4"/>
      <c r="S948" s="12"/>
    </row>
    <row r="949" spans="1:19" x14ac:dyDescent="0.25">
      <c r="A949" s="9" t="s">
        <v>359</v>
      </c>
      <c r="B949" s="9" t="s">
        <v>359</v>
      </c>
      <c r="C949" s="4">
        <v>201003025</v>
      </c>
      <c r="D949" s="4" t="s">
        <v>1883</v>
      </c>
      <c r="E949" s="4" t="str">
        <f>"060562010"</f>
        <v>060562010</v>
      </c>
      <c r="F949" s="10">
        <v>40290</v>
      </c>
      <c r="G949" s="11">
        <v>14845</v>
      </c>
      <c r="H949" s="11">
        <v>14845</v>
      </c>
      <c r="I949" s="4" t="s">
        <v>366</v>
      </c>
      <c r="J949" s="4" t="s">
        <v>367</v>
      </c>
      <c r="K949" s="11">
        <v>0</v>
      </c>
      <c r="L949" s="4"/>
      <c r="M949" s="4"/>
      <c r="N949" s="11">
        <v>0</v>
      </c>
      <c r="O949" s="4"/>
      <c r="P949" s="4"/>
      <c r="Q949" s="11">
        <v>0</v>
      </c>
      <c r="R949" s="4"/>
      <c r="S949" s="12"/>
    </row>
    <row r="950" spans="1:19" x14ac:dyDescent="0.25">
      <c r="A950" s="9" t="s">
        <v>359</v>
      </c>
      <c r="B950" s="9" t="s">
        <v>359</v>
      </c>
      <c r="C950" s="4">
        <v>201003026</v>
      </c>
      <c r="D950" s="4"/>
      <c r="E950" s="4" t="str">
        <f>"060522010"</f>
        <v>060522010</v>
      </c>
      <c r="F950" s="10">
        <v>40290</v>
      </c>
      <c r="G950" s="11">
        <v>6250</v>
      </c>
      <c r="H950" s="11">
        <v>6250</v>
      </c>
      <c r="I950" s="4" t="s">
        <v>366</v>
      </c>
      <c r="J950" s="4" t="s">
        <v>367</v>
      </c>
      <c r="K950" s="11">
        <v>0</v>
      </c>
      <c r="L950" s="4"/>
      <c r="M950" s="4"/>
      <c r="N950" s="11">
        <v>0</v>
      </c>
      <c r="O950" s="4"/>
      <c r="P950" s="4"/>
      <c r="Q950" s="11">
        <v>0</v>
      </c>
      <c r="R950" s="4"/>
      <c r="S950" s="12"/>
    </row>
    <row r="951" spans="1:19" x14ac:dyDescent="0.25">
      <c r="A951" s="9" t="s">
        <v>359</v>
      </c>
      <c r="B951" s="9" t="s">
        <v>359</v>
      </c>
      <c r="C951" s="4">
        <v>201003042</v>
      </c>
      <c r="D951" s="4"/>
      <c r="E951" s="4" t="str">
        <f>"060882010"</f>
        <v>060882010</v>
      </c>
      <c r="F951" s="10">
        <v>40290</v>
      </c>
      <c r="G951" s="11">
        <v>10000</v>
      </c>
      <c r="H951" s="11">
        <v>10000</v>
      </c>
      <c r="I951" s="4" t="s">
        <v>366</v>
      </c>
      <c r="J951" s="4" t="s">
        <v>367</v>
      </c>
      <c r="K951" s="11">
        <v>0</v>
      </c>
      <c r="L951" s="4"/>
      <c r="M951" s="4"/>
      <c r="N951" s="11">
        <v>0</v>
      </c>
      <c r="O951" s="4"/>
      <c r="P951" s="4"/>
      <c r="Q951" s="11">
        <v>0</v>
      </c>
      <c r="R951" s="4"/>
      <c r="S951" s="12"/>
    </row>
    <row r="952" spans="1:19" x14ac:dyDescent="0.25">
      <c r="A952" s="9" t="s">
        <v>359</v>
      </c>
      <c r="B952" s="9" t="s">
        <v>359</v>
      </c>
      <c r="C952" s="4">
        <v>201003057</v>
      </c>
      <c r="D952" s="4"/>
      <c r="E952" s="4" t="str">
        <f>"061822010"</f>
        <v>061822010</v>
      </c>
      <c r="F952" s="10">
        <v>40295</v>
      </c>
      <c r="G952" s="11">
        <v>8155.1</v>
      </c>
      <c r="H952" s="11">
        <v>8155.1</v>
      </c>
      <c r="I952" s="4" t="s">
        <v>366</v>
      </c>
      <c r="J952" s="4" t="s">
        <v>367</v>
      </c>
      <c r="K952" s="11">
        <v>0</v>
      </c>
      <c r="L952" s="4"/>
      <c r="M952" s="4"/>
      <c r="N952" s="11">
        <v>0</v>
      </c>
      <c r="O952" s="4"/>
      <c r="P952" s="4"/>
      <c r="Q952" s="11">
        <v>0</v>
      </c>
      <c r="R952" s="4"/>
      <c r="S952" s="12"/>
    </row>
    <row r="953" spans="1:19" x14ac:dyDescent="0.25">
      <c r="A953" s="9" t="s">
        <v>359</v>
      </c>
      <c r="B953" s="9" t="s">
        <v>359</v>
      </c>
      <c r="C953" s="4">
        <v>201003058</v>
      </c>
      <c r="D953" s="4"/>
      <c r="E953" s="4" t="str">
        <f>"061962010"</f>
        <v>061962010</v>
      </c>
      <c r="F953" s="10">
        <v>40296</v>
      </c>
      <c r="G953" s="11">
        <v>5328.69</v>
      </c>
      <c r="H953" s="11">
        <v>5328.69</v>
      </c>
      <c r="I953" s="4" t="s">
        <v>366</v>
      </c>
      <c r="J953" s="4" t="s">
        <v>367</v>
      </c>
      <c r="K953" s="11">
        <v>0</v>
      </c>
      <c r="L953" s="4"/>
      <c r="M953" s="4"/>
      <c r="N953" s="11">
        <v>0</v>
      </c>
      <c r="O953" s="4"/>
      <c r="P953" s="4"/>
      <c r="Q953" s="11">
        <v>0</v>
      </c>
      <c r="R953" s="4"/>
      <c r="S953" s="12"/>
    </row>
    <row r="954" spans="1:19" x14ac:dyDescent="0.25">
      <c r="A954" s="9" t="s">
        <v>359</v>
      </c>
      <c r="B954" s="9" t="s">
        <v>359</v>
      </c>
      <c r="C954" s="4">
        <v>201003059</v>
      </c>
      <c r="D954" s="4"/>
      <c r="E954" s="4" t="str">
        <f>"061982010"</f>
        <v>061982010</v>
      </c>
      <c r="F954" s="10">
        <v>40296</v>
      </c>
      <c r="G954" s="11">
        <v>3904.4</v>
      </c>
      <c r="H954" s="11">
        <v>3904.4</v>
      </c>
      <c r="I954" s="4" t="s">
        <v>366</v>
      </c>
      <c r="J954" s="4" t="s">
        <v>367</v>
      </c>
      <c r="K954" s="11">
        <v>0</v>
      </c>
      <c r="L954" s="4"/>
      <c r="M954" s="4"/>
      <c r="N954" s="11">
        <v>0</v>
      </c>
      <c r="O954" s="4"/>
      <c r="P954" s="4"/>
      <c r="Q954" s="11">
        <v>0</v>
      </c>
      <c r="R954" s="4"/>
      <c r="S954" s="12"/>
    </row>
    <row r="955" spans="1:19" x14ac:dyDescent="0.25">
      <c r="A955" s="9" t="s">
        <v>359</v>
      </c>
      <c r="B955" s="9" t="s">
        <v>359</v>
      </c>
      <c r="C955" s="4">
        <v>201003076</v>
      </c>
      <c r="D955" s="4"/>
      <c r="E955" s="4" t="str">
        <f>"061922010"</f>
        <v>061922010</v>
      </c>
      <c r="F955" s="10">
        <v>40296</v>
      </c>
      <c r="G955" s="11">
        <v>20000</v>
      </c>
      <c r="H955" s="11">
        <v>20000</v>
      </c>
      <c r="I955" s="4" t="s">
        <v>931</v>
      </c>
      <c r="J955" s="4" t="s">
        <v>932</v>
      </c>
      <c r="K955" s="11">
        <v>0</v>
      </c>
      <c r="L955" s="4"/>
      <c r="M955" s="4"/>
      <c r="N955" s="11">
        <v>0</v>
      </c>
      <c r="O955" s="4"/>
      <c r="P955" s="4"/>
      <c r="Q955" s="11">
        <v>0</v>
      </c>
      <c r="R955" s="4"/>
      <c r="S955" s="12"/>
    </row>
    <row r="956" spans="1:19" x14ac:dyDescent="0.25">
      <c r="A956" s="9" t="s">
        <v>359</v>
      </c>
      <c r="B956" s="9" t="s">
        <v>359</v>
      </c>
      <c r="C956" s="4">
        <v>201003092</v>
      </c>
      <c r="D956" s="4"/>
      <c r="E956" s="4" t="str">
        <f>"062062010"</f>
        <v>062062010</v>
      </c>
      <c r="F956" s="10">
        <v>40296</v>
      </c>
      <c r="G956" s="11">
        <v>2555</v>
      </c>
      <c r="H956" s="11">
        <v>2555</v>
      </c>
      <c r="I956" s="4" t="s">
        <v>366</v>
      </c>
      <c r="J956" s="4" t="s">
        <v>367</v>
      </c>
      <c r="K956" s="11">
        <v>0</v>
      </c>
      <c r="L956" s="4"/>
      <c r="M956" s="4"/>
      <c r="N956" s="11">
        <v>0</v>
      </c>
      <c r="O956" s="4"/>
      <c r="P956" s="4"/>
      <c r="Q956" s="11">
        <v>0</v>
      </c>
      <c r="R956" s="4"/>
      <c r="S956" s="12"/>
    </row>
    <row r="957" spans="1:19" x14ac:dyDescent="0.25">
      <c r="A957" s="9" t="s">
        <v>359</v>
      </c>
      <c r="B957" s="9" t="s">
        <v>359</v>
      </c>
      <c r="C957" s="4">
        <v>201003102</v>
      </c>
      <c r="D957" s="4"/>
      <c r="E957" s="4" t="str">
        <f>"062542010"</f>
        <v>062542010</v>
      </c>
      <c r="F957" s="10">
        <v>40296</v>
      </c>
      <c r="G957" s="11">
        <v>4492.21</v>
      </c>
      <c r="H957" s="11">
        <v>4492.21</v>
      </c>
      <c r="I957" s="4" t="s">
        <v>366</v>
      </c>
      <c r="J957" s="4" t="s">
        <v>367</v>
      </c>
      <c r="K957" s="11">
        <v>0</v>
      </c>
      <c r="L957" s="4"/>
      <c r="M957" s="4"/>
      <c r="N957" s="11">
        <v>0</v>
      </c>
      <c r="O957" s="4"/>
      <c r="P957" s="4"/>
      <c r="Q957" s="11">
        <v>0</v>
      </c>
      <c r="R957" s="4"/>
      <c r="S957" s="12"/>
    </row>
    <row r="958" spans="1:19" x14ac:dyDescent="0.25">
      <c r="A958" s="9" t="s">
        <v>359</v>
      </c>
      <c r="B958" s="9" t="s">
        <v>359</v>
      </c>
      <c r="C958" s="4">
        <v>201003139</v>
      </c>
      <c r="D958" s="4"/>
      <c r="E958" s="4" t="str">
        <f>"062642010"</f>
        <v>062642010</v>
      </c>
      <c r="F958" s="10">
        <v>40296</v>
      </c>
      <c r="G958" s="11">
        <v>3038.14</v>
      </c>
      <c r="H958" s="11">
        <v>3038.14</v>
      </c>
      <c r="I958" s="4" t="s">
        <v>366</v>
      </c>
      <c r="J958" s="4" t="s">
        <v>367</v>
      </c>
      <c r="K958" s="11">
        <v>0</v>
      </c>
      <c r="L958" s="4"/>
      <c r="M958" s="4"/>
      <c r="N958" s="11">
        <v>0</v>
      </c>
      <c r="O958" s="4"/>
      <c r="P958" s="4"/>
      <c r="Q958" s="11">
        <v>0</v>
      </c>
      <c r="R958" s="4"/>
      <c r="S958" s="12"/>
    </row>
    <row r="959" spans="1:19" x14ac:dyDescent="0.25">
      <c r="A959" s="9" t="s">
        <v>359</v>
      </c>
      <c r="B959" s="9" t="s">
        <v>359</v>
      </c>
      <c r="C959" s="4">
        <v>201003144</v>
      </c>
      <c r="D959" s="4"/>
      <c r="E959" s="4" t="str">
        <f>"062942010"</f>
        <v>062942010</v>
      </c>
      <c r="F959" s="10">
        <v>40296</v>
      </c>
      <c r="G959" s="11">
        <v>5500</v>
      </c>
      <c r="H959" s="11">
        <v>5500</v>
      </c>
      <c r="I959" s="4" t="s">
        <v>366</v>
      </c>
      <c r="J959" s="4" t="s">
        <v>367</v>
      </c>
      <c r="K959" s="11">
        <v>0</v>
      </c>
      <c r="L959" s="4"/>
      <c r="M959" s="4"/>
      <c r="N959" s="11">
        <v>0</v>
      </c>
      <c r="O959" s="4"/>
      <c r="P959" s="4"/>
      <c r="Q959" s="11">
        <v>0</v>
      </c>
      <c r="R959" s="4"/>
      <c r="S959" s="12"/>
    </row>
    <row r="960" spans="1:19" x14ac:dyDescent="0.25">
      <c r="A960" s="9" t="s">
        <v>359</v>
      </c>
      <c r="B960" s="9" t="s">
        <v>359</v>
      </c>
      <c r="C960" s="4">
        <v>201003146</v>
      </c>
      <c r="D960" s="4"/>
      <c r="E960" s="4" t="str">
        <f>"062962010"</f>
        <v>062962010</v>
      </c>
      <c r="F960" s="10">
        <v>40296</v>
      </c>
      <c r="G960" s="11">
        <v>11363.05</v>
      </c>
      <c r="H960" s="11">
        <v>11363.05</v>
      </c>
      <c r="I960" s="4" t="s">
        <v>366</v>
      </c>
      <c r="J960" s="4" t="s">
        <v>367</v>
      </c>
      <c r="K960" s="11">
        <v>0</v>
      </c>
      <c r="L960" s="4"/>
      <c r="M960" s="4"/>
      <c r="N960" s="11">
        <v>0</v>
      </c>
      <c r="O960" s="4"/>
      <c r="P960" s="4"/>
      <c r="Q960" s="11">
        <v>0</v>
      </c>
      <c r="R960" s="4"/>
      <c r="S960" s="12"/>
    </row>
    <row r="961" spans="1:19" x14ac:dyDescent="0.25">
      <c r="A961" s="9" t="s">
        <v>359</v>
      </c>
      <c r="B961" s="9" t="s">
        <v>359</v>
      </c>
      <c r="C961" s="4">
        <v>201003147</v>
      </c>
      <c r="D961" s="4" t="s">
        <v>1884</v>
      </c>
      <c r="E961" s="4" t="str">
        <f>"066532010"</f>
        <v>066532010</v>
      </c>
      <c r="F961" s="10">
        <v>40308</v>
      </c>
      <c r="G961" s="11">
        <v>16491.02</v>
      </c>
      <c r="H961" s="11">
        <v>16491.02</v>
      </c>
      <c r="I961" s="4" t="s">
        <v>366</v>
      </c>
      <c r="J961" s="4" t="s">
        <v>367</v>
      </c>
      <c r="K961" s="11">
        <v>0</v>
      </c>
      <c r="L961" s="4"/>
      <c r="M961" s="4"/>
      <c r="N961" s="11">
        <v>0</v>
      </c>
      <c r="O961" s="4"/>
      <c r="P961" s="4"/>
      <c r="Q961" s="11">
        <v>0</v>
      </c>
      <c r="R961" s="4"/>
      <c r="S961" s="12"/>
    </row>
    <row r="962" spans="1:19" x14ac:dyDescent="0.25">
      <c r="A962" s="9" t="s">
        <v>359</v>
      </c>
      <c r="B962" s="9" t="s">
        <v>359</v>
      </c>
      <c r="C962" s="4">
        <v>201003148</v>
      </c>
      <c r="D962" s="4" t="s">
        <v>1885</v>
      </c>
      <c r="E962" s="4" t="str">
        <f>"063542010"</f>
        <v>063542010</v>
      </c>
      <c r="F962" s="10">
        <v>40297</v>
      </c>
      <c r="G962" s="11">
        <v>35000</v>
      </c>
      <c r="H962" s="11">
        <v>35000</v>
      </c>
      <c r="I962" s="4" t="s">
        <v>366</v>
      </c>
      <c r="J962" s="4" t="s">
        <v>367</v>
      </c>
      <c r="K962" s="11">
        <v>0</v>
      </c>
      <c r="L962" s="4"/>
      <c r="M962" s="4"/>
      <c r="N962" s="11">
        <v>0</v>
      </c>
      <c r="O962" s="4"/>
      <c r="P962" s="4"/>
      <c r="Q962" s="11">
        <v>0</v>
      </c>
      <c r="R962" s="4"/>
      <c r="S962" s="12"/>
    </row>
    <row r="963" spans="1:19" x14ac:dyDescent="0.25">
      <c r="A963" s="9" t="s">
        <v>359</v>
      </c>
      <c r="B963" s="9" t="s">
        <v>359</v>
      </c>
      <c r="C963" s="4">
        <v>201003206</v>
      </c>
      <c r="D963" s="4" t="s">
        <v>1886</v>
      </c>
      <c r="E963" s="4" t="str">
        <f>"063802010"</f>
        <v>063802010</v>
      </c>
      <c r="F963" s="10">
        <v>40297</v>
      </c>
      <c r="G963" s="11">
        <v>250000</v>
      </c>
      <c r="H963" s="11">
        <v>250000</v>
      </c>
      <c r="I963" s="4" t="s">
        <v>687</v>
      </c>
      <c r="J963" s="4" t="s">
        <v>688</v>
      </c>
      <c r="K963" s="11">
        <v>0</v>
      </c>
      <c r="L963" s="4"/>
      <c r="M963" s="4"/>
      <c r="N963" s="11">
        <v>0</v>
      </c>
      <c r="O963" s="4"/>
      <c r="P963" s="4"/>
      <c r="Q963" s="11">
        <v>0</v>
      </c>
      <c r="R963" s="4"/>
      <c r="S963" s="12"/>
    </row>
    <row r="964" spans="1:19" x14ac:dyDescent="0.25">
      <c r="A964" s="9" t="s">
        <v>359</v>
      </c>
      <c r="B964" s="9" t="s">
        <v>359</v>
      </c>
      <c r="C964" s="4">
        <v>201003231</v>
      </c>
      <c r="D964" s="4" t="s">
        <v>1887</v>
      </c>
      <c r="E964" s="4" t="str">
        <f>"066642010"</f>
        <v>066642010</v>
      </c>
      <c r="F964" s="10">
        <v>40308</v>
      </c>
      <c r="G964" s="11">
        <v>12500</v>
      </c>
      <c r="H964" s="11">
        <v>12500</v>
      </c>
      <c r="I964" s="4" t="s">
        <v>366</v>
      </c>
      <c r="J964" s="4" t="s">
        <v>367</v>
      </c>
      <c r="K964" s="11">
        <v>0</v>
      </c>
      <c r="L964" s="4"/>
      <c r="M964" s="4"/>
      <c r="N964" s="11">
        <v>0</v>
      </c>
      <c r="O964" s="4"/>
      <c r="P964" s="4"/>
      <c r="Q964" s="11">
        <v>0</v>
      </c>
      <c r="R964" s="4"/>
      <c r="S964" s="12"/>
    </row>
    <row r="965" spans="1:19" x14ac:dyDescent="0.25">
      <c r="A965" s="9" t="s">
        <v>359</v>
      </c>
      <c r="B965" s="9" t="s">
        <v>359</v>
      </c>
      <c r="C965" s="4">
        <v>201003249</v>
      </c>
      <c r="D965" s="4"/>
      <c r="E965" s="4" t="str">
        <f>"065702010"</f>
        <v>065702010</v>
      </c>
      <c r="F965" s="10">
        <v>40304</v>
      </c>
      <c r="G965" s="11">
        <v>3715.25</v>
      </c>
      <c r="H965" s="11">
        <v>3715.25</v>
      </c>
      <c r="I965" s="4" t="s">
        <v>366</v>
      </c>
      <c r="J965" s="4" t="s">
        <v>367</v>
      </c>
      <c r="K965" s="11">
        <v>0</v>
      </c>
      <c r="L965" s="4"/>
      <c r="M965" s="4"/>
      <c r="N965" s="11">
        <v>0</v>
      </c>
      <c r="O965" s="4"/>
      <c r="P965" s="4"/>
      <c r="Q965" s="11">
        <v>0</v>
      </c>
      <c r="R965" s="4"/>
      <c r="S965" s="12"/>
    </row>
    <row r="966" spans="1:19" x14ac:dyDescent="0.25">
      <c r="A966" s="9" t="s">
        <v>359</v>
      </c>
      <c r="B966" s="9" t="s">
        <v>359</v>
      </c>
      <c r="C966" s="4">
        <v>201003251</v>
      </c>
      <c r="D966" s="4"/>
      <c r="E966" s="4" t="str">
        <f>"065602010"</f>
        <v>065602010</v>
      </c>
      <c r="F966" s="10">
        <v>40304</v>
      </c>
      <c r="G966" s="11">
        <v>16310.5</v>
      </c>
      <c r="H966" s="11">
        <v>16310.5</v>
      </c>
      <c r="I966" s="4" t="s">
        <v>366</v>
      </c>
      <c r="J966" s="4" t="s">
        <v>367</v>
      </c>
      <c r="K966" s="11">
        <v>0</v>
      </c>
      <c r="L966" s="4"/>
      <c r="M966" s="4"/>
      <c r="N966" s="11">
        <v>0</v>
      </c>
      <c r="O966" s="4"/>
      <c r="P966" s="4"/>
      <c r="Q966" s="11">
        <v>0</v>
      </c>
      <c r="R966" s="4"/>
      <c r="S966" s="12"/>
    </row>
    <row r="967" spans="1:19" x14ac:dyDescent="0.25">
      <c r="A967" s="9" t="s">
        <v>359</v>
      </c>
      <c r="B967" s="9" t="s">
        <v>359</v>
      </c>
      <c r="C967" s="4">
        <v>201003271</v>
      </c>
      <c r="D967" s="4"/>
      <c r="E967" s="4" t="str">
        <f>"065862010"</f>
        <v>065862010</v>
      </c>
      <c r="F967" s="10">
        <v>40308</v>
      </c>
      <c r="G967" s="11">
        <v>12957.92</v>
      </c>
      <c r="H967" s="11">
        <v>12957.92</v>
      </c>
      <c r="I967" s="4" t="s">
        <v>366</v>
      </c>
      <c r="J967" s="4" t="s">
        <v>367</v>
      </c>
      <c r="K967" s="11">
        <v>0</v>
      </c>
      <c r="L967" s="4"/>
      <c r="M967" s="4"/>
      <c r="N967" s="11">
        <v>0</v>
      </c>
      <c r="O967" s="4"/>
      <c r="P967" s="4"/>
      <c r="Q967" s="11">
        <v>0</v>
      </c>
      <c r="R967" s="4"/>
      <c r="S967" s="12"/>
    </row>
    <row r="968" spans="1:19" x14ac:dyDescent="0.25">
      <c r="A968" s="9" t="s">
        <v>359</v>
      </c>
      <c r="B968" s="9" t="s">
        <v>359</v>
      </c>
      <c r="C968" s="4">
        <v>201003290</v>
      </c>
      <c r="D968" s="4"/>
      <c r="E968" s="4" t="str">
        <f>"067342010"</f>
        <v>067342010</v>
      </c>
      <c r="F968" s="10">
        <v>40310</v>
      </c>
      <c r="G968" s="11">
        <v>6073.1</v>
      </c>
      <c r="H968" s="11">
        <v>6073.1</v>
      </c>
      <c r="I968" s="4" t="s">
        <v>366</v>
      </c>
      <c r="J968" s="4" t="s">
        <v>367</v>
      </c>
      <c r="K968" s="11">
        <v>0</v>
      </c>
      <c r="L968" s="4"/>
      <c r="M968" s="4"/>
      <c r="N968" s="11">
        <v>0</v>
      </c>
      <c r="O968" s="4"/>
      <c r="P968" s="4"/>
      <c r="Q968" s="11">
        <v>0</v>
      </c>
      <c r="R968" s="4"/>
      <c r="S968" s="12"/>
    </row>
    <row r="969" spans="1:19" x14ac:dyDescent="0.25">
      <c r="A969" s="9" t="s">
        <v>359</v>
      </c>
      <c r="B969" s="9" t="s">
        <v>359</v>
      </c>
      <c r="C969" s="4">
        <v>201003302</v>
      </c>
      <c r="D969" s="4" t="s">
        <v>1888</v>
      </c>
      <c r="E969" s="4" t="str">
        <f>"066662010"</f>
        <v>066662010</v>
      </c>
      <c r="F969" s="10">
        <v>40308</v>
      </c>
      <c r="G969" s="11">
        <v>25000</v>
      </c>
      <c r="H969" s="11">
        <v>25000</v>
      </c>
      <c r="I969" s="4" t="s">
        <v>366</v>
      </c>
      <c r="J969" s="4" t="s">
        <v>367</v>
      </c>
      <c r="K969" s="11">
        <v>0</v>
      </c>
      <c r="L969" s="4"/>
      <c r="M969" s="4"/>
      <c r="N969" s="11">
        <v>0</v>
      </c>
      <c r="O969" s="4"/>
      <c r="P969" s="4"/>
      <c r="Q969" s="11">
        <v>0</v>
      </c>
      <c r="R969" s="4"/>
      <c r="S969" s="12"/>
    </row>
    <row r="970" spans="1:19" x14ac:dyDescent="0.25">
      <c r="A970" s="9" t="s">
        <v>359</v>
      </c>
      <c r="B970" s="9" t="s">
        <v>359</v>
      </c>
      <c r="C970" s="4">
        <v>201003306</v>
      </c>
      <c r="D970" s="4" t="s">
        <v>1889</v>
      </c>
      <c r="E970" s="4" t="str">
        <f>"067522010"</f>
        <v>067522010</v>
      </c>
      <c r="F970" s="10">
        <v>40311</v>
      </c>
      <c r="G970" s="11">
        <v>56000</v>
      </c>
      <c r="H970" s="11">
        <v>56000</v>
      </c>
      <c r="I970" s="4" t="s">
        <v>366</v>
      </c>
      <c r="J970" s="4" t="s">
        <v>367</v>
      </c>
      <c r="K970" s="11">
        <v>0</v>
      </c>
      <c r="L970" s="4"/>
      <c r="M970" s="4"/>
      <c r="N970" s="11">
        <v>0</v>
      </c>
      <c r="O970" s="4"/>
      <c r="P970" s="4"/>
      <c r="Q970" s="11">
        <v>0</v>
      </c>
      <c r="R970" s="4"/>
      <c r="S970" s="12"/>
    </row>
    <row r="971" spans="1:19" x14ac:dyDescent="0.25">
      <c r="A971" s="9" t="s">
        <v>359</v>
      </c>
      <c r="B971" s="9" t="s">
        <v>359</v>
      </c>
      <c r="C971" s="4">
        <v>201003309</v>
      </c>
      <c r="D971" s="4"/>
      <c r="E971" s="4" t="str">
        <f>"067362010"</f>
        <v>067362010</v>
      </c>
      <c r="F971" s="10">
        <v>40311</v>
      </c>
      <c r="G971" s="11">
        <v>8520.18</v>
      </c>
      <c r="H971" s="11">
        <v>8520.18</v>
      </c>
      <c r="I971" s="4" t="s">
        <v>366</v>
      </c>
      <c r="J971" s="4" t="s">
        <v>367</v>
      </c>
      <c r="K971" s="11">
        <v>0</v>
      </c>
      <c r="L971" s="4"/>
      <c r="M971" s="4"/>
      <c r="N971" s="11">
        <v>0</v>
      </c>
      <c r="O971" s="4"/>
      <c r="P971" s="4"/>
      <c r="Q971" s="11">
        <v>0</v>
      </c>
      <c r="R971" s="4"/>
      <c r="S971" s="12"/>
    </row>
    <row r="972" spans="1:19" x14ac:dyDescent="0.25">
      <c r="A972" s="9" t="s">
        <v>359</v>
      </c>
      <c r="B972" s="9" t="s">
        <v>359</v>
      </c>
      <c r="C972" s="4">
        <v>201003337</v>
      </c>
      <c r="D972" s="4"/>
      <c r="E972" s="4" t="str">
        <f>"067582010"</f>
        <v>067582010</v>
      </c>
      <c r="F972" s="10">
        <v>40311</v>
      </c>
      <c r="G972" s="11">
        <v>5224</v>
      </c>
      <c r="H972" s="11">
        <v>5224</v>
      </c>
      <c r="I972" s="4" t="s">
        <v>366</v>
      </c>
      <c r="J972" s="4" t="s">
        <v>367</v>
      </c>
      <c r="K972" s="11">
        <v>0</v>
      </c>
      <c r="L972" s="4"/>
      <c r="M972" s="4"/>
      <c r="N972" s="11">
        <v>0</v>
      </c>
      <c r="O972" s="4"/>
      <c r="P972" s="4"/>
      <c r="Q972" s="11">
        <v>0</v>
      </c>
      <c r="R972" s="4"/>
      <c r="S972" s="12"/>
    </row>
    <row r="973" spans="1:19" x14ac:dyDescent="0.25">
      <c r="A973" s="9" t="s">
        <v>359</v>
      </c>
      <c r="B973" s="9" t="s">
        <v>359</v>
      </c>
      <c r="C973" s="4">
        <v>201003364</v>
      </c>
      <c r="D973" s="4" t="s">
        <v>1890</v>
      </c>
      <c r="E973" s="4" t="str">
        <f>"067562010"</f>
        <v>067562010</v>
      </c>
      <c r="F973" s="10">
        <v>40311</v>
      </c>
      <c r="G973" s="11">
        <v>13500</v>
      </c>
      <c r="H973" s="11">
        <v>13500</v>
      </c>
      <c r="I973" s="4" t="s">
        <v>366</v>
      </c>
      <c r="J973" s="4" t="s">
        <v>367</v>
      </c>
      <c r="K973" s="11">
        <v>0</v>
      </c>
      <c r="L973" s="4"/>
      <c r="M973" s="4"/>
      <c r="N973" s="11">
        <v>0</v>
      </c>
      <c r="O973" s="4"/>
      <c r="P973" s="4"/>
      <c r="Q973" s="11">
        <v>0</v>
      </c>
      <c r="R973" s="4"/>
      <c r="S973" s="12"/>
    </row>
    <row r="974" spans="1:19" x14ac:dyDescent="0.25">
      <c r="A974" s="9" t="s">
        <v>359</v>
      </c>
      <c r="B974" s="9" t="s">
        <v>359</v>
      </c>
      <c r="C974" s="4">
        <v>201003480</v>
      </c>
      <c r="D974" s="4" t="s">
        <v>1891</v>
      </c>
      <c r="E974" s="4" t="str">
        <f>"070072010"</f>
        <v>070072010</v>
      </c>
      <c r="F974" s="10">
        <v>40318</v>
      </c>
      <c r="G974" s="11">
        <v>22500</v>
      </c>
      <c r="H974" s="11">
        <v>22500</v>
      </c>
      <c r="I974" s="4" t="s">
        <v>366</v>
      </c>
      <c r="J974" s="4" t="s">
        <v>367</v>
      </c>
      <c r="K974" s="11">
        <v>0</v>
      </c>
      <c r="L974" s="4"/>
      <c r="M974" s="4"/>
      <c r="N974" s="11">
        <v>0</v>
      </c>
      <c r="O974" s="4"/>
      <c r="P974" s="4"/>
      <c r="Q974" s="11">
        <v>0</v>
      </c>
      <c r="R974" s="4"/>
      <c r="S974" s="12"/>
    </row>
    <row r="975" spans="1:19" x14ac:dyDescent="0.25">
      <c r="A975" s="9" t="s">
        <v>359</v>
      </c>
      <c r="B975" s="9" t="s">
        <v>359</v>
      </c>
      <c r="C975" s="4">
        <v>201003501</v>
      </c>
      <c r="D975" s="4"/>
      <c r="E975" s="4" t="str">
        <f>"069972010"</f>
        <v>069972010</v>
      </c>
      <c r="F975" s="10">
        <v>40318</v>
      </c>
      <c r="G975" s="11">
        <v>3022.96</v>
      </c>
      <c r="H975" s="11">
        <v>3022.96</v>
      </c>
      <c r="I975" s="4" t="s">
        <v>366</v>
      </c>
      <c r="J975" s="4" t="s">
        <v>367</v>
      </c>
      <c r="K975" s="11">
        <v>0</v>
      </c>
      <c r="L975" s="4"/>
      <c r="M975" s="4"/>
      <c r="N975" s="11">
        <v>0</v>
      </c>
      <c r="O975" s="4"/>
      <c r="P975" s="4"/>
      <c r="Q975" s="11">
        <v>0</v>
      </c>
      <c r="R975" s="4"/>
      <c r="S975" s="12"/>
    </row>
    <row r="976" spans="1:19" x14ac:dyDescent="0.25">
      <c r="A976" s="9" t="s">
        <v>359</v>
      </c>
      <c r="B976" s="9" t="s">
        <v>359</v>
      </c>
      <c r="C976" s="4">
        <v>201003531</v>
      </c>
      <c r="D976" s="4"/>
      <c r="E976" s="4" t="str">
        <f>"071032010"</f>
        <v>071032010</v>
      </c>
      <c r="F976" s="10">
        <v>40318</v>
      </c>
      <c r="G976" s="11">
        <v>6368.2</v>
      </c>
      <c r="H976" s="11">
        <v>6368.2</v>
      </c>
      <c r="I976" s="4" t="s">
        <v>366</v>
      </c>
      <c r="J976" s="4" t="s">
        <v>367</v>
      </c>
      <c r="K976" s="11">
        <v>0</v>
      </c>
      <c r="L976" s="4"/>
      <c r="M976" s="4"/>
      <c r="N976" s="11">
        <v>0</v>
      </c>
      <c r="O976" s="4"/>
      <c r="P976" s="4"/>
      <c r="Q976" s="11">
        <v>0</v>
      </c>
      <c r="R976" s="4"/>
      <c r="S976" s="12"/>
    </row>
    <row r="977" spans="1:19" x14ac:dyDescent="0.25">
      <c r="A977" s="9" t="s">
        <v>359</v>
      </c>
      <c r="B977" s="9" t="s">
        <v>359</v>
      </c>
      <c r="C977" s="4">
        <v>201003554</v>
      </c>
      <c r="D977" s="4" t="s">
        <v>1892</v>
      </c>
      <c r="E977" s="4" t="str">
        <f>"071132010"</f>
        <v>071132010</v>
      </c>
      <c r="F977" s="10">
        <v>40318</v>
      </c>
      <c r="G977" s="11">
        <v>11615.65</v>
      </c>
      <c r="H977" s="11">
        <v>11615.65</v>
      </c>
      <c r="I977" s="4" t="s">
        <v>366</v>
      </c>
      <c r="J977" s="4" t="s">
        <v>367</v>
      </c>
      <c r="K977" s="11">
        <v>0</v>
      </c>
      <c r="L977" s="4"/>
      <c r="M977" s="4"/>
      <c r="N977" s="11">
        <v>0</v>
      </c>
      <c r="O977" s="4"/>
      <c r="P977" s="4"/>
      <c r="Q977" s="11">
        <v>0</v>
      </c>
      <c r="R977" s="4"/>
      <c r="S977" s="12"/>
    </row>
    <row r="978" spans="1:19" x14ac:dyDescent="0.25">
      <c r="A978" s="9" t="s">
        <v>359</v>
      </c>
      <c r="B978" s="9" t="s">
        <v>359</v>
      </c>
      <c r="C978" s="4">
        <v>201003581</v>
      </c>
      <c r="D978" s="4"/>
      <c r="E978" s="4" t="str">
        <f>"071312010"</f>
        <v>071312010</v>
      </c>
      <c r="F978" s="10">
        <v>40324</v>
      </c>
      <c r="G978" s="11">
        <v>2536.0700000000002</v>
      </c>
      <c r="H978" s="11">
        <v>2536.0700000000002</v>
      </c>
      <c r="I978" s="4" t="s">
        <v>366</v>
      </c>
      <c r="J978" s="4" t="s">
        <v>367</v>
      </c>
      <c r="K978" s="11">
        <v>0</v>
      </c>
      <c r="L978" s="4"/>
      <c r="M978" s="4"/>
      <c r="N978" s="11">
        <v>0</v>
      </c>
      <c r="O978" s="4"/>
      <c r="P978" s="4"/>
      <c r="Q978" s="11">
        <v>0</v>
      </c>
      <c r="R978" s="4"/>
      <c r="S978" s="12"/>
    </row>
    <row r="979" spans="1:19" x14ac:dyDescent="0.25">
      <c r="A979" s="9" t="s">
        <v>359</v>
      </c>
      <c r="B979" s="9" t="s">
        <v>359</v>
      </c>
      <c r="C979" s="4">
        <v>201003591</v>
      </c>
      <c r="D979" s="4"/>
      <c r="E979" s="4" t="str">
        <f>"071972010"</f>
        <v>071972010</v>
      </c>
      <c r="F979" s="10">
        <v>40323</v>
      </c>
      <c r="G979" s="11">
        <v>3626.69</v>
      </c>
      <c r="H979" s="11">
        <v>3626.69</v>
      </c>
      <c r="I979" s="4" t="s">
        <v>366</v>
      </c>
      <c r="J979" s="4" t="s">
        <v>367</v>
      </c>
      <c r="K979" s="11">
        <v>0</v>
      </c>
      <c r="L979" s="4"/>
      <c r="M979" s="4"/>
      <c r="N979" s="11">
        <v>0</v>
      </c>
      <c r="O979" s="4"/>
      <c r="P979" s="4"/>
      <c r="Q979" s="11">
        <v>0</v>
      </c>
      <c r="R979" s="4"/>
      <c r="S979" s="12"/>
    </row>
    <row r="980" spans="1:19" x14ac:dyDescent="0.25">
      <c r="A980" s="9" t="s">
        <v>359</v>
      </c>
      <c r="B980" s="9" t="s">
        <v>359</v>
      </c>
      <c r="C980" s="4">
        <v>201003601</v>
      </c>
      <c r="D980" s="4" t="s">
        <v>1893</v>
      </c>
      <c r="E980" s="4" t="str">
        <f>"072392010"</f>
        <v>072392010</v>
      </c>
      <c r="F980" s="10">
        <v>40323</v>
      </c>
      <c r="G980" s="11">
        <v>75000</v>
      </c>
      <c r="H980" s="11">
        <v>75000</v>
      </c>
      <c r="I980" s="4" t="s">
        <v>366</v>
      </c>
      <c r="J980" s="4" t="s">
        <v>367</v>
      </c>
      <c r="K980" s="11">
        <v>0</v>
      </c>
      <c r="L980" s="4"/>
      <c r="M980" s="4"/>
      <c r="N980" s="11">
        <v>0</v>
      </c>
      <c r="O980" s="4"/>
      <c r="P980" s="4"/>
      <c r="Q980" s="11">
        <v>0</v>
      </c>
      <c r="R980" s="4"/>
      <c r="S980" s="12"/>
    </row>
    <row r="981" spans="1:19" x14ac:dyDescent="0.25">
      <c r="A981" s="9" t="s">
        <v>359</v>
      </c>
      <c r="B981" s="9" t="s">
        <v>359</v>
      </c>
      <c r="C981" s="4">
        <v>201003608</v>
      </c>
      <c r="D981" s="4"/>
      <c r="E981" s="4" t="str">
        <f>"072372010"</f>
        <v>072372010</v>
      </c>
      <c r="F981" s="10">
        <v>40324</v>
      </c>
      <c r="G981" s="11">
        <v>3632.52</v>
      </c>
      <c r="H981" s="11">
        <v>3632.52</v>
      </c>
      <c r="I981" s="4" t="s">
        <v>366</v>
      </c>
      <c r="J981" s="4" t="s">
        <v>367</v>
      </c>
      <c r="K981" s="11">
        <v>0</v>
      </c>
      <c r="L981" s="4"/>
      <c r="M981" s="4"/>
      <c r="N981" s="11">
        <v>0</v>
      </c>
      <c r="O981" s="4"/>
      <c r="P981" s="4"/>
      <c r="Q981" s="11">
        <v>0</v>
      </c>
      <c r="R981" s="4"/>
      <c r="S981" s="12"/>
    </row>
    <row r="982" spans="1:19" x14ac:dyDescent="0.25">
      <c r="A982" s="9" t="s">
        <v>359</v>
      </c>
      <c r="B982" s="9" t="s">
        <v>359</v>
      </c>
      <c r="C982" s="4">
        <v>201003626</v>
      </c>
      <c r="D982" s="4"/>
      <c r="E982" s="4" t="str">
        <f>"072452010"</f>
        <v>072452010</v>
      </c>
      <c r="F982" s="10">
        <v>40324</v>
      </c>
      <c r="G982" s="11">
        <v>6654.82</v>
      </c>
      <c r="H982" s="11">
        <v>6654.82</v>
      </c>
      <c r="I982" s="4" t="s">
        <v>366</v>
      </c>
      <c r="J982" s="4" t="s">
        <v>367</v>
      </c>
      <c r="K982" s="11">
        <v>0</v>
      </c>
      <c r="L982" s="4"/>
      <c r="M982" s="4"/>
      <c r="N982" s="11">
        <v>0</v>
      </c>
      <c r="O982" s="4"/>
      <c r="P982" s="4"/>
      <c r="Q982" s="11">
        <v>0</v>
      </c>
      <c r="R982" s="4"/>
      <c r="S982" s="12"/>
    </row>
    <row r="983" spans="1:19" x14ac:dyDescent="0.25">
      <c r="A983" s="9" t="s">
        <v>359</v>
      </c>
      <c r="B983" s="9" t="s">
        <v>359</v>
      </c>
      <c r="C983" s="4">
        <v>201003637</v>
      </c>
      <c r="D983" s="4"/>
      <c r="E983" s="4" t="str">
        <f>"072432010"</f>
        <v>072432010</v>
      </c>
      <c r="F983" s="10">
        <v>40324</v>
      </c>
      <c r="G983" s="11">
        <v>9383.49</v>
      </c>
      <c r="H983" s="11">
        <v>9383.49</v>
      </c>
      <c r="I983" s="4" t="s">
        <v>366</v>
      </c>
      <c r="J983" s="4" t="s">
        <v>367</v>
      </c>
      <c r="K983" s="11">
        <v>0</v>
      </c>
      <c r="L983" s="4"/>
      <c r="M983" s="4"/>
      <c r="N983" s="11">
        <v>0</v>
      </c>
      <c r="O983" s="4"/>
      <c r="P983" s="4"/>
      <c r="Q983" s="11">
        <v>0</v>
      </c>
      <c r="R983" s="4"/>
      <c r="S983" s="12"/>
    </row>
    <row r="984" spans="1:19" x14ac:dyDescent="0.25">
      <c r="A984" s="9" t="s">
        <v>359</v>
      </c>
      <c r="B984" s="9" t="s">
        <v>359</v>
      </c>
      <c r="C984" s="4">
        <v>201003639</v>
      </c>
      <c r="D984" s="4"/>
      <c r="E984" s="4" t="str">
        <f>"073332010"</f>
        <v>073332010</v>
      </c>
      <c r="F984" s="10">
        <v>40324</v>
      </c>
      <c r="G984" s="11">
        <v>5960</v>
      </c>
      <c r="H984" s="11">
        <v>5960</v>
      </c>
      <c r="I984" s="4" t="s">
        <v>366</v>
      </c>
      <c r="J984" s="4" t="s">
        <v>367</v>
      </c>
      <c r="K984" s="11">
        <v>0</v>
      </c>
      <c r="L984" s="4"/>
      <c r="M984" s="4"/>
      <c r="N984" s="11">
        <v>0</v>
      </c>
      <c r="O984" s="4"/>
      <c r="P984" s="4"/>
      <c r="Q984" s="11">
        <v>0</v>
      </c>
      <c r="R984" s="4"/>
      <c r="S984" s="12"/>
    </row>
    <row r="985" spans="1:19" x14ac:dyDescent="0.25">
      <c r="A985" s="9" t="s">
        <v>359</v>
      </c>
      <c r="B985" s="9" t="s">
        <v>359</v>
      </c>
      <c r="C985" s="4">
        <v>201003651</v>
      </c>
      <c r="D985" s="4"/>
      <c r="E985" s="4" t="str">
        <f>"073352010"</f>
        <v>073352010</v>
      </c>
      <c r="F985" s="10">
        <v>40324</v>
      </c>
      <c r="G985" s="11">
        <v>4303.5</v>
      </c>
      <c r="H985" s="11">
        <v>4303.5</v>
      </c>
      <c r="I985" s="4" t="s">
        <v>366</v>
      </c>
      <c r="J985" s="4" t="s">
        <v>367</v>
      </c>
      <c r="K985" s="11">
        <v>0</v>
      </c>
      <c r="L985" s="4"/>
      <c r="M985" s="4"/>
      <c r="N985" s="11">
        <v>0</v>
      </c>
      <c r="O985" s="4"/>
      <c r="P985" s="4"/>
      <c r="Q985" s="11">
        <v>0</v>
      </c>
      <c r="R985" s="4"/>
      <c r="S985" s="12"/>
    </row>
    <row r="986" spans="1:19" x14ac:dyDescent="0.25">
      <c r="A986" s="9" t="s">
        <v>359</v>
      </c>
      <c r="B986" s="9" t="s">
        <v>359</v>
      </c>
      <c r="C986" s="4">
        <v>201003693</v>
      </c>
      <c r="D986" s="4"/>
      <c r="E986" s="4" t="str">
        <f>"074202010"</f>
        <v>074202010</v>
      </c>
      <c r="F986" s="10">
        <v>40331</v>
      </c>
      <c r="G986" s="11">
        <v>5335.79</v>
      </c>
      <c r="H986" s="11">
        <v>5335.79</v>
      </c>
      <c r="I986" s="4" t="s">
        <v>366</v>
      </c>
      <c r="J986" s="4" t="s">
        <v>367</v>
      </c>
      <c r="K986" s="11">
        <v>0</v>
      </c>
      <c r="L986" s="4"/>
      <c r="M986" s="4"/>
      <c r="N986" s="11">
        <v>0</v>
      </c>
      <c r="O986" s="4"/>
      <c r="P986" s="4"/>
      <c r="Q986" s="11">
        <v>0</v>
      </c>
      <c r="R986" s="4"/>
      <c r="S986" s="12"/>
    </row>
    <row r="987" spans="1:19" x14ac:dyDescent="0.25">
      <c r="A987" s="9" t="s">
        <v>359</v>
      </c>
      <c r="B987" s="9" t="s">
        <v>359</v>
      </c>
      <c r="C987" s="4">
        <v>201003712</v>
      </c>
      <c r="D987" s="4"/>
      <c r="E987" s="4" t="str">
        <f>"074742010"</f>
        <v>074742010</v>
      </c>
      <c r="F987" s="10">
        <v>40332</v>
      </c>
      <c r="G987" s="11">
        <v>4368.2700000000004</v>
      </c>
      <c r="H987" s="11">
        <v>4368.2700000000004</v>
      </c>
      <c r="I987" s="4" t="s">
        <v>366</v>
      </c>
      <c r="J987" s="4" t="s">
        <v>367</v>
      </c>
      <c r="K987" s="11">
        <v>0</v>
      </c>
      <c r="L987" s="4"/>
      <c r="M987" s="4"/>
      <c r="N987" s="11">
        <v>0</v>
      </c>
      <c r="O987" s="4"/>
      <c r="P987" s="4"/>
      <c r="Q987" s="11">
        <v>0</v>
      </c>
      <c r="R987" s="4"/>
      <c r="S987" s="12"/>
    </row>
    <row r="988" spans="1:19" x14ac:dyDescent="0.25">
      <c r="A988" s="9" t="s">
        <v>359</v>
      </c>
      <c r="B988" s="9" t="s">
        <v>359</v>
      </c>
      <c r="C988" s="4">
        <v>201003737</v>
      </c>
      <c r="D988" s="4"/>
      <c r="E988" s="4" t="str">
        <f>"075562010"</f>
        <v>075562010</v>
      </c>
      <c r="F988" s="10">
        <v>40332</v>
      </c>
      <c r="G988" s="11">
        <v>6197.87</v>
      </c>
      <c r="H988" s="11">
        <v>6197.87</v>
      </c>
      <c r="I988" s="4" t="s">
        <v>366</v>
      </c>
      <c r="J988" s="4" t="s">
        <v>367</v>
      </c>
      <c r="K988" s="11">
        <v>0</v>
      </c>
      <c r="L988" s="4"/>
      <c r="M988" s="4"/>
      <c r="N988" s="11">
        <v>0</v>
      </c>
      <c r="O988" s="4"/>
      <c r="P988" s="4"/>
      <c r="Q988" s="11">
        <v>0</v>
      </c>
      <c r="R988" s="4"/>
      <c r="S988" s="12"/>
    </row>
    <row r="989" spans="1:19" x14ac:dyDescent="0.25">
      <c r="A989" s="9" t="s">
        <v>359</v>
      </c>
      <c r="B989" s="9" t="s">
        <v>359</v>
      </c>
      <c r="C989" s="4">
        <v>201003745</v>
      </c>
      <c r="D989" s="4"/>
      <c r="E989" s="4" t="str">
        <f>"074642010"</f>
        <v>074642010</v>
      </c>
      <c r="F989" s="10">
        <v>40332</v>
      </c>
      <c r="G989" s="11">
        <v>3250</v>
      </c>
      <c r="H989" s="11">
        <v>3250</v>
      </c>
      <c r="I989" s="4" t="s">
        <v>366</v>
      </c>
      <c r="J989" s="4" t="s">
        <v>367</v>
      </c>
      <c r="K989" s="11">
        <v>0</v>
      </c>
      <c r="L989" s="4"/>
      <c r="M989" s="4"/>
      <c r="N989" s="11">
        <v>0</v>
      </c>
      <c r="O989" s="4"/>
      <c r="P989" s="4"/>
      <c r="Q989" s="11">
        <v>0</v>
      </c>
      <c r="R989" s="4"/>
      <c r="S989" s="12"/>
    </row>
    <row r="990" spans="1:19" x14ac:dyDescent="0.25">
      <c r="A990" s="9" t="s">
        <v>359</v>
      </c>
      <c r="B990" s="9" t="s">
        <v>359</v>
      </c>
      <c r="C990" s="4">
        <v>201003755</v>
      </c>
      <c r="D990" s="4"/>
      <c r="E990" s="4" t="str">
        <f>"078862010"</f>
        <v>078862010</v>
      </c>
      <c r="F990" s="10">
        <v>40340</v>
      </c>
      <c r="G990" s="11">
        <v>4518.9799999999996</v>
      </c>
      <c r="H990" s="11">
        <v>4518.9799999999996</v>
      </c>
      <c r="I990" s="4" t="s">
        <v>366</v>
      </c>
      <c r="J990" s="4" t="s">
        <v>367</v>
      </c>
      <c r="K990" s="11">
        <v>0</v>
      </c>
      <c r="L990" s="4"/>
      <c r="M990" s="4"/>
      <c r="N990" s="11">
        <v>0</v>
      </c>
      <c r="O990" s="4"/>
      <c r="P990" s="4"/>
      <c r="Q990" s="11">
        <v>0</v>
      </c>
      <c r="R990" s="4"/>
      <c r="S990" s="12"/>
    </row>
    <row r="991" spans="1:19" x14ac:dyDescent="0.25">
      <c r="A991" s="9" t="s">
        <v>359</v>
      </c>
      <c r="B991" s="9" t="s">
        <v>359</v>
      </c>
      <c r="C991" s="4">
        <v>201003758</v>
      </c>
      <c r="D991" s="4" t="s">
        <v>1894</v>
      </c>
      <c r="E991" s="4" t="str">
        <f>"074522010"</f>
        <v>074522010</v>
      </c>
      <c r="F991" s="10">
        <v>40331</v>
      </c>
      <c r="G991" s="11">
        <v>19500</v>
      </c>
      <c r="H991" s="11">
        <v>19500</v>
      </c>
      <c r="I991" s="4" t="s">
        <v>366</v>
      </c>
      <c r="J991" s="4" t="s">
        <v>367</v>
      </c>
      <c r="K991" s="11">
        <v>0</v>
      </c>
      <c r="L991" s="4"/>
      <c r="M991" s="4"/>
      <c r="N991" s="11">
        <v>0</v>
      </c>
      <c r="O991" s="4"/>
      <c r="P991" s="4"/>
      <c r="Q991" s="11">
        <v>0</v>
      </c>
      <c r="R991" s="4"/>
      <c r="S991" s="12"/>
    </row>
    <row r="992" spans="1:19" x14ac:dyDescent="0.25">
      <c r="A992" s="9" t="s">
        <v>359</v>
      </c>
      <c r="B992" s="9" t="s">
        <v>359</v>
      </c>
      <c r="C992" s="4">
        <v>201003770</v>
      </c>
      <c r="D992" s="4"/>
      <c r="E992" s="4" t="str">
        <f>"074302010"</f>
        <v>074302010</v>
      </c>
      <c r="F992" s="10">
        <v>40331</v>
      </c>
      <c r="G992" s="11">
        <v>3497.71</v>
      </c>
      <c r="H992" s="11">
        <v>3497.71</v>
      </c>
      <c r="I992" s="4" t="s">
        <v>366</v>
      </c>
      <c r="J992" s="4" t="s">
        <v>367</v>
      </c>
      <c r="K992" s="11">
        <v>0</v>
      </c>
      <c r="L992" s="4"/>
      <c r="M992" s="4"/>
      <c r="N992" s="11">
        <v>0</v>
      </c>
      <c r="O992" s="4"/>
      <c r="P992" s="4"/>
      <c r="Q992" s="11">
        <v>0</v>
      </c>
      <c r="R992" s="4"/>
      <c r="S992" s="12"/>
    </row>
    <row r="993" spans="1:19" x14ac:dyDescent="0.25">
      <c r="A993" s="9" t="s">
        <v>359</v>
      </c>
      <c r="B993" s="9" t="s">
        <v>359</v>
      </c>
      <c r="C993" s="4">
        <v>201003797</v>
      </c>
      <c r="D993" s="4" t="s">
        <v>1895</v>
      </c>
      <c r="E993" s="4" t="str">
        <f>"077472010"</f>
        <v>077472010</v>
      </c>
      <c r="F993" s="10">
        <v>40340</v>
      </c>
      <c r="G993" s="11">
        <v>2519.8200000000002</v>
      </c>
      <c r="H993" s="11">
        <v>2519.8200000000002</v>
      </c>
      <c r="I993" s="4" t="s">
        <v>366</v>
      </c>
      <c r="J993" s="4" t="s">
        <v>367</v>
      </c>
      <c r="K993" s="11">
        <v>0</v>
      </c>
      <c r="L993" s="4"/>
      <c r="M993" s="4"/>
      <c r="N993" s="11">
        <v>0</v>
      </c>
      <c r="O993" s="4"/>
      <c r="P993" s="4"/>
      <c r="Q993" s="11">
        <v>0</v>
      </c>
      <c r="R993" s="4"/>
      <c r="S993" s="12"/>
    </row>
    <row r="994" spans="1:19" x14ac:dyDescent="0.25">
      <c r="A994" s="9" t="s">
        <v>359</v>
      </c>
      <c r="B994" s="9" t="s">
        <v>359</v>
      </c>
      <c r="C994" s="4">
        <v>201003800</v>
      </c>
      <c r="D994" s="4" t="s">
        <v>1895</v>
      </c>
      <c r="E994" s="4" t="str">
        <f>"076672010"</f>
        <v>076672010</v>
      </c>
      <c r="F994" s="10">
        <v>40336</v>
      </c>
      <c r="G994" s="11">
        <v>16500</v>
      </c>
      <c r="H994" s="11">
        <v>16500</v>
      </c>
      <c r="I994" s="4" t="s">
        <v>366</v>
      </c>
      <c r="J994" s="4" t="s">
        <v>367</v>
      </c>
      <c r="K994" s="11">
        <v>0</v>
      </c>
      <c r="L994" s="4"/>
      <c r="M994" s="4"/>
      <c r="N994" s="11">
        <v>0</v>
      </c>
      <c r="O994" s="4"/>
      <c r="P994" s="4"/>
      <c r="Q994" s="11">
        <v>0</v>
      </c>
      <c r="R994" s="4"/>
      <c r="S994" s="12"/>
    </row>
    <row r="995" spans="1:19" x14ac:dyDescent="0.25">
      <c r="A995" s="9" t="s">
        <v>359</v>
      </c>
      <c r="B995" s="9" t="s">
        <v>359</v>
      </c>
      <c r="C995" s="4">
        <v>201003811</v>
      </c>
      <c r="D995" s="4"/>
      <c r="E995" s="4" t="str">
        <f>"077732010"</f>
        <v>077732010</v>
      </c>
      <c r="F995" s="10">
        <v>40340</v>
      </c>
      <c r="G995" s="11">
        <v>3352.42</v>
      </c>
      <c r="H995" s="11">
        <v>3352.42</v>
      </c>
      <c r="I995" s="4" t="s">
        <v>366</v>
      </c>
      <c r="J995" s="4" t="s">
        <v>367</v>
      </c>
      <c r="K995" s="11">
        <v>0</v>
      </c>
      <c r="L995" s="4"/>
      <c r="M995" s="4"/>
      <c r="N995" s="11">
        <v>0</v>
      </c>
      <c r="O995" s="4"/>
      <c r="P995" s="4"/>
      <c r="Q995" s="11">
        <v>0</v>
      </c>
      <c r="R995" s="4"/>
      <c r="S995" s="12"/>
    </row>
    <row r="996" spans="1:19" x14ac:dyDescent="0.25">
      <c r="A996" s="9" t="s">
        <v>359</v>
      </c>
      <c r="B996" s="9" t="s">
        <v>359</v>
      </c>
      <c r="C996" s="4">
        <v>201003845</v>
      </c>
      <c r="D996" s="4"/>
      <c r="E996" s="4" t="str">
        <f>"078132010"</f>
        <v>078132010</v>
      </c>
      <c r="F996" s="10">
        <v>40340</v>
      </c>
      <c r="G996" s="11">
        <v>3040.37</v>
      </c>
      <c r="H996" s="11">
        <v>3040.37</v>
      </c>
      <c r="I996" s="4" t="s">
        <v>366</v>
      </c>
      <c r="J996" s="4" t="s">
        <v>367</v>
      </c>
      <c r="K996" s="11">
        <v>0</v>
      </c>
      <c r="L996" s="4"/>
      <c r="M996" s="4"/>
      <c r="N996" s="11">
        <v>0</v>
      </c>
      <c r="O996" s="4"/>
      <c r="P996" s="4"/>
      <c r="Q996" s="11">
        <v>0</v>
      </c>
      <c r="R996" s="4"/>
      <c r="S996" s="12"/>
    </row>
    <row r="997" spans="1:19" x14ac:dyDescent="0.25">
      <c r="A997" s="9" t="s">
        <v>359</v>
      </c>
      <c r="B997" s="9" t="s">
        <v>359</v>
      </c>
      <c r="C997" s="4">
        <v>201003851</v>
      </c>
      <c r="D997" s="4"/>
      <c r="E997" s="4" t="str">
        <f>"078192010"</f>
        <v>078192010</v>
      </c>
      <c r="F997" s="10">
        <v>40340</v>
      </c>
      <c r="G997" s="11">
        <v>3247.21</v>
      </c>
      <c r="H997" s="11">
        <v>3247.21</v>
      </c>
      <c r="I997" s="4" t="s">
        <v>366</v>
      </c>
      <c r="J997" s="4" t="s">
        <v>367</v>
      </c>
      <c r="K997" s="11">
        <v>0</v>
      </c>
      <c r="L997" s="4"/>
      <c r="M997" s="4"/>
      <c r="N997" s="11">
        <v>0</v>
      </c>
      <c r="O997" s="4"/>
      <c r="P997" s="4"/>
      <c r="Q997" s="11">
        <v>0</v>
      </c>
      <c r="R997" s="4"/>
      <c r="S997" s="12"/>
    </row>
    <row r="998" spans="1:19" x14ac:dyDescent="0.25">
      <c r="A998" s="9" t="s">
        <v>359</v>
      </c>
      <c r="B998" s="9" t="s">
        <v>359</v>
      </c>
      <c r="C998" s="4">
        <v>201003915</v>
      </c>
      <c r="D998" s="4" t="s">
        <v>1896</v>
      </c>
      <c r="E998" s="4" t="str">
        <f>"083942010"</f>
        <v>083942010</v>
      </c>
      <c r="F998" s="10">
        <v>40354</v>
      </c>
      <c r="G998" s="11">
        <v>5000</v>
      </c>
      <c r="H998" s="11">
        <v>5000</v>
      </c>
      <c r="I998" s="4" t="s">
        <v>366</v>
      </c>
      <c r="J998" s="4" t="s">
        <v>367</v>
      </c>
      <c r="K998" s="11">
        <v>0</v>
      </c>
      <c r="L998" s="4"/>
      <c r="M998" s="4"/>
      <c r="N998" s="11">
        <v>0</v>
      </c>
      <c r="O998" s="4"/>
      <c r="P998" s="4"/>
      <c r="Q998" s="11">
        <v>0</v>
      </c>
      <c r="R998" s="4"/>
      <c r="S998" s="12"/>
    </row>
    <row r="999" spans="1:19" x14ac:dyDescent="0.25">
      <c r="A999" s="9" t="s">
        <v>359</v>
      </c>
      <c r="B999" s="9" t="s">
        <v>359</v>
      </c>
      <c r="C999" s="4">
        <v>201003916</v>
      </c>
      <c r="D999" s="4" t="s">
        <v>1896</v>
      </c>
      <c r="E999" s="4" t="str">
        <f>"083922010"</f>
        <v>083922010</v>
      </c>
      <c r="F999" s="10">
        <v>40354</v>
      </c>
      <c r="G999" s="11">
        <v>5000</v>
      </c>
      <c r="H999" s="11">
        <v>5000</v>
      </c>
      <c r="I999" s="4" t="s">
        <v>366</v>
      </c>
      <c r="J999" s="4" t="s">
        <v>367</v>
      </c>
      <c r="K999" s="11">
        <v>0</v>
      </c>
      <c r="L999" s="4"/>
      <c r="M999" s="4"/>
      <c r="N999" s="11">
        <v>0</v>
      </c>
      <c r="O999" s="4"/>
      <c r="P999" s="4"/>
      <c r="Q999" s="11">
        <v>0</v>
      </c>
      <c r="R999" s="4"/>
      <c r="S999" s="12"/>
    </row>
    <row r="1000" spans="1:19" x14ac:dyDescent="0.25">
      <c r="A1000" s="9" t="s">
        <v>359</v>
      </c>
      <c r="B1000" s="9" t="s">
        <v>359</v>
      </c>
      <c r="C1000" s="4">
        <v>201003917</v>
      </c>
      <c r="D1000" s="4"/>
      <c r="E1000" s="4" t="str">
        <f>"099232010"</f>
        <v>099232010</v>
      </c>
      <c r="F1000" s="10">
        <v>40396</v>
      </c>
      <c r="G1000" s="11">
        <v>2991.07</v>
      </c>
      <c r="H1000" s="11">
        <v>2991.07</v>
      </c>
      <c r="I1000" s="4" t="s">
        <v>366</v>
      </c>
      <c r="J1000" s="4" t="s">
        <v>367</v>
      </c>
      <c r="K1000" s="11">
        <v>0</v>
      </c>
      <c r="L1000" s="4"/>
      <c r="M1000" s="4"/>
      <c r="N1000" s="11">
        <v>0</v>
      </c>
      <c r="O1000" s="4"/>
      <c r="P1000" s="4"/>
      <c r="Q1000" s="11">
        <v>0</v>
      </c>
      <c r="R1000" s="4"/>
      <c r="S1000" s="12"/>
    </row>
    <row r="1001" spans="1:19" x14ac:dyDescent="0.25">
      <c r="A1001" s="9" t="s">
        <v>359</v>
      </c>
      <c r="B1001" s="9" t="s">
        <v>359</v>
      </c>
      <c r="C1001" s="4">
        <v>201003918</v>
      </c>
      <c r="D1001" s="4" t="s">
        <v>1897</v>
      </c>
      <c r="E1001" s="4" t="str">
        <f>"109662010"</f>
        <v>109662010</v>
      </c>
      <c r="F1001" s="10">
        <v>40431</v>
      </c>
      <c r="G1001" s="11">
        <v>20000</v>
      </c>
      <c r="H1001" s="11">
        <v>20000</v>
      </c>
      <c r="I1001" s="4" t="s">
        <v>366</v>
      </c>
      <c r="J1001" s="4" t="s">
        <v>367</v>
      </c>
      <c r="K1001" s="11">
        <v>0</v>
      </c>
      <c r="L1001" s="4"/>
      <c r="M1001" s="4"/>
      <c r="N1001" s="11">
        <v>0</v>
      </c>
      <c r="O1001" s="4"/>
      <c r="P1001" s="4"/>
      <c r="Q1001" s="11">
        <v>0</v>
      </c>
      <c r="R1001" s="4"/>
      <c r="S1001" s="12"/>
    </row>
    <row r="1002" spans="1:19" x14ac:dyDescent="0.25">
      <c r="A1002" s="9" t="s">
        <v>359</v>
      </c>
      <c r="B1002" s="9" t="s">
        <v>359</v>
      </c>
      <c r="C1002" s="4">
        <v>201003927</v>
      </c>
      <c r="D1002" s="4" t="s">
        <v>1898</v>
      </c>
      <c r="E1002" s="4" t="str">
        <f>"081282010"</f>
        <v>081282010</v>
      </c>
      <c r="F1002" s="10">
        <v>40346</v>
      </c>
      <c r="G1002" s="11">
        <v>18000</v>
      </c>
      <c r="H1002" s="11">
        <v>18000</v>
      </c>
      <c r="I1002" s="4" t="s">
        <v>366</v>
      </c>
      <c r="J1002" s="4" t="s">
        <v>367</v>
      </c>
      <c r="K1002" s="11">
        <v>0</v>
      </c>
      <c r="L1002" s="4"/>
      <c r="M1002" s="4"/>
      <c r="N1002" s="11">
        <v>0</v>
      </c>
      <c r="O1002" s="4"/>
      <c r="P1002" s="4"/>
      <c r="Q1002" s="11">
        <v>0</v>
      </c>
      <c r="R1002" s="4"/>
      <c r="S1002" s="12"/>
    </row>
    <row r="1003" spans="1:19" x14ac:dyDescent="0.25">
      <c r="A1003" s="9" t="s">
        <v>359</v>
      </c>
      <c r="B1003" s="9" t="s">
        <v>359</v>
      </c>
      <c r="C1003" s="4">
        <v>201003929</v>
      </c>
      <c r="D1003" s="4"/>
      <c r="E1003" s="4" t="str">
        <f>"081302010"</f>
        <v>081302010</v>
      </c>
      <c r="F1003" s="10">
        <v>40346</v>
      </c>
      <c r="G1003" s="11">
        <v>6143.89</v>
      </c>
      <c r="H1003" s="11">
        <v>6143.89</v>
      </c>
      <c r="I1003" s="4" t="s">
        <v>366</v>
      </c>
      <c r="J1003" s="4" t="s">
        <v>367</v>
      </c>
      <c r="K1003" s="11">
        <v>0</v>
      </c>
      <c r="L1003" s="4"/>
      <c r="M1003" s="4"/>
      <c r="N1003" s="11">
        <v>0</v>
      </c>
      <c r="O1003" s="4"/>
      <c r="P1003" s="4"/>
      <c r="Q1003" s="11">
        <v>0</v>
      </c>
      <c r="R1003" s="4"/>
      <c r="S1003" s="12"/>
    </row>
    <row r="1004" spans="1:19" x14ac:dyDescent="0.25">
      <c r="A1004" s="9" t="s">
        <v>359</v>
      </c>
      <c r="B1004" s="9" t="s">
        <v>359</v>
      </c>
      <c r="C1004" s="4">
        <v>201003932</v>
      </c>
      <c r="D1004" s="4"/>
      <c r="E1004" s="4" t="str">
        <f>"079562010"</f>
        <v>079562010</v>
      </c>
      <c r="F1004" s="10">
        <v>40346</v>
      </c>
      <c r="G1004" s="11">
        <v>15636.66</v>
      </c>
      <c r="H1004" s="11">
        <v>15636.66</v>
      </c>
      <c r="I1004" s="4" t="s">
        <v>366</v>
      </c>
      <c r="J1004" s="4" t="s">
        <v>367</v>
      </c>
      <c r="K1004" s="11">
        <v>0</v>
      </c>
      <c r="L1004" s="4"/>
      <c r="M1004" s="4"/>
      <c r="N1004" s="11">
        <v>0</v>
      </c>
      <c r="O1004" s="4"/>
      <c r="P1004" s="4"/>
      <c r="Q1004" s="11">
        <v>0</v>
      </c>
      <c r="R1004" s="4"/>
      <c r="S1004" s="12"/>
    </row>
    <row r="1005" spans="1:19" x14ac:dyDescent="0.25">
      <c r="A1005" s="9" t="s">
        <v>359</v>
      </c>
      <c r="B1005" s="9" t="s">
        <v>359</v>
      </c>
      <c r="C1005" s="4">
        <v>201003933</v>
      </c>
      <c r="D1005" s="4" t="s">
        <v>1899</v>
      </c>
      <c r="E1005" s="4" t="str">
        <f>"079542010"</f>
        <v>079542010</v>
      </c>
      <c r="F1005" s="10">
        <v>40344</v>
      </c>
      <c r="G1005" s="11">
        <v>11000</v>
      </c>
      <c r="H1005" s="11">
        <v>11000</v>
      </c>
      <c r="I1005" s="4" t="s">
        <v>366</v>
      </c>
      <c r="J1005" s="4" t="s">
        <v>367</v>
      </c>
      <c r="K1005" s="11">
        <v>0</v>
      </c>
      <c r="L1005" s="4"/>
      <c r="M1005" s="4"/>
      <c r="N1005" s="11">
        <v>0</v>
      </c>
      <c r="O1005" s="4"/>
      <c r="P1005" s="4"/>
      <c r="Q1005" s="11">
        <v>0</v>
      </c>
      <c r="R1005" s="4"/>
      <c r="S1005" s="12"/>
    </row>
    <row r="1006" spans="1:19" x14ac:dyDescent="0.25">
      <c r="A1006" s="9" t="s">
        <v>359</v>
      </c>
      <c r="B1006" s="9" t="s">
        <v>359</v>
      </c>
      <c r="C1006" s="4">
        <v>201003939</v>
      </c>
      <c r="D1006" s="4"/>
      <c r="E1006" s="4" t="str">
        <f>"086382010"</f>
        <v>086382010</v>
      </c>
      <c r="F1006" s="10">
        <v>40358</v>
      </c>
      <c r="G1006" s="11">
        <v>4443.34</v>
      </c>
      <c r="H1006" s="11">
        <v>4443.34</v>
      </c>
      <c r="I1006" s="4" t="s">
        <v>366</v>
      </c>
      <c r="J1006" s="4" t="s">
        <v>367</v>
      </c>
      <c r="K1006" s="11">
        <v>0</v>
      </c>
      <c r="L1006" s="4"/>
      <c r="M1006" s="4"/>
      <c r="N1006" s="11">
        <v>0</v>
      </c>
      <c r="O1006" s="4"/>
      <c r="P1006" s="4"/>
      <c r="Q1006" s="11">
        <v>0</v>
      </c>
      <c r="R1006" s="4"/>
      <c r="S1006" s="12"/>
    </row>
    <row r="1007" spans="1:19" x14ac:dyDescent="0.25">
      <c r="A1007" s="9" t="s">
        <v>359</v>
      </c>
      <c r="B1007" s="9" t="s">
        <v>359</v>
      </c>
      <c r="C1007" s="4">
        <v>201003967</v>
      </c>
      <c r="D1007" s="4"/>
      <c r="E1007" s="4" t="str">
        <f>"085462010"</f>
        <v>085462010</v>
      </c>
      <c r="F1007" s="10">
        <v>40353</v>
      </c>
      <c r="G1007" s="11">
        <v>2766</v>
      </c>
      <c r="H1007" s="11">
        <v>2766</v>
      </c>
      <c r="I1007" s="4" t="s">
        <v>366</v>
      </c>
      <c r="J1007" s="4" t="s">
        <v>367</v>
      </c>
      <c r="K1007" s="11">
        <v>0</v>
      </c>
      <c r="L1007" s="4"/>
      <c r="M1007" s="4"/>
      <c r="N1007" s="11">
        <v>0</v>
      </c>
      <c r="O1007" s="4"/>
      <c r="P1007" s="4"/>
      <c r="Q1007" s="11">
        <v>0</v>
      </c>
      <c r="R1007" s="4"/>
      <c r="S1007" s="12"/>
    </row>
    <row r="1008" spans="1:19" x14ac:dyDescent="0.25">
      <c r="A1008" s="9" t="s">
        <v>359</v>
      </c>
      <c r="B1008" s="9" t="s">
        <v>359</v>
      </c>
      <c r="C1008" s="4">
        <v>201003973</v>
      </c>
      <c r="D1008" s="4" t="s">
        <v>1900</v>
      </c>
      <c r="E1008" s="4" t="str">
        <f>"081402010"</f>
        <v>081402010</v>
      </c>
      <c r="F1008" s="10">
        <v>40353</v>
      </c>
      <c r="G1008" s="11">
        <v>7588.96</v>
      </c>
      <c r="H1008" s="11">
        <v>7588.96</v>
      </c>
      <c r="I1008" s="4" t="s">
        <v>366</v>
      </c>
      <c r="J1008" s="4" t="s">
        <v>367</v>
      </c>
      <c r="K1008" s="11">
        <v>0</v>
      </c>
      <c r="L1008" s="4"/>
      <c r="M1008" s="4"/>
      <c r="N1008" s="11">
        <v>0</v>
      </c>
      <c r="O1008" s="4"/>
      <c r="P1008" s="4"/>
      <c r="Q1008" s="11">
        <v>0</v>
      </c>
      <c r="R1008" s="4"/>
      <c r="S1008" s="12"/>
    </row>
    <row r="1009" spans="1:19" x14ac:dyDescent="0.25">
      <c r="A1009" s="9" t="s">
        <v>359</v>
      </c>
      <c r="B1009" s="9" t="s">
        <v>359</v>
      </c>
      <c r="C1009" s="4">
        <v>201003977</v>
      </c>
      <c r="D1009" s="4" t="s">
        <v>1901</v>
      </c>
      <c r="E1009" s="4" t="str">
        <f>"082972010"</f>
        <v>082972010</v>
      </c>
      <c r="F1009" s="10">
        <v>40347</v>
      </c>
      <c r="G1009" s="11">
        <v>30000</v>
      </c>
      <c r="H1009" s="11">
        <v>30000</v>
      </c>
      <c r="I1009" s="4" t="s">
        <v>366</v>
      </c>
      <c r="J1009" s="4" t="s">
        <v>367</v>
      </c>
      <c r="K1009" s="11">
        <v>0</v>
      </c>
      <c r="L1009" s="4"/>
      <c r="M1009" s="4"/>
      <c r="N1009" s="11">
        <v>0</v>
      </c>
      <c r="O1009" s="4"/>
      <c r="P1009" s="4"/>
      <c r="Q1009" s="11">
        <v>0</v>
      </c>
      <c r="R1009" s="4"/>
      <c r="S1009" s="12"/>
    </row>
    <row r="1010" spans="1:19" x14ac:dyDescent="0.25">
      <c r="A1010" s="9" t="s">
        <v>359</v>
      </c>
      <c r="B1010" s="9" t="s">
        <v>359</v>
      </c>
      <c r="C1010" s="4">
        <v>201003978</v>
      </c>
      <c r="D1010" s="4" t="s">
        <v>1902</v>
      </c>
      <c r="E1010" s="4" t="str">
        <f>"082992010"</f>
        <v>082992010</v>
      </c>
      <c r="F1010" s="10">
        <v>40347</v>
      </c>
      <c r="G1010" s="11">
        <v>50000</v>
      </c>
      <c r="H1010" s="11">
        <v>50000</v>
      </c>
      <c r="I1010" s="4" t="s">
        <v>366</v>
      </c>
      <c r="J1010" s="4" t="s">
        <v>367</v>
      </c>
      <c r="K1010" s="11">
        <v>0</v>
      </c>
      <c r="L1010" s="4"/>
      <c r="M1010" s="4"/>
      <c r="N1010" s="11">
        <v>0</v>
      </c>
      <c r="O1010" s="4"/>
      <c r="P1010" s="4"/>
      <c r="Q1010" s="11">
        <v>0</v>
      </c>
      <c r="R1010" s="4"/>
      <c r="S1010" s="12"/>
    </row>
    <row r="1011" spans="1:19" x14ac:dyDescent="0.25">
      <c r="A1011" s="9" t="s">
        <v>359</v>
      </c>
      <c r="B1011" s="9" t="s">
        <v>359</v>
      </c>
      <c r="C1011" s="4">
        <v>201003980</v>
      </c>
      <c r="D1011" s="4"/>
      <c r="E1011" s="4" t="str">
        <f>"083682010"</f>
        <v>083682010</v>
      </c>
      <c r="F1011" s="10">
        <v>40357</v>
      </c>
      <c r="G1011" s="11">
        <v>2712.57</v>
      </c>
      <c r="H1011" s="11">
        <v>2712.57</v>
      </c>
      <c r="I1011" s="4" t="s">
        <v>366</v>
      </c>
      <c r="J1011" s="4" t="s">
        <v>367</v>
      </c>
      <c r="K1011" s="11">
        <v>0</v>
      </c>
      <c r="L1011" s="4"/>
      <c r="M1011" s="4"/>
      <c r="N1011" s="11">
        <v>0</v>
      </c>
      <c r="O1011" s="4"/>
      <c r="P1011" s="4"/>
      <c r="Q1011" s="11">
        <v>0</v>
      </c>
      <c r="R1011" s="4"/>
      <c r="S1011" s="12"/>
    </row>
    <row r="1012" spans="1:19" x14ac:dyDescent="0.25">
      <c r="A1012" s="9" t="s">
        <v>359</v>
      </c>
      <c r="B1012" s="9" t="s">
        <v>359</v>
      </c>
      <c r="C1012" s="4">
        <v>201003991</v>
      </c>
      <c r="D1012" s="4"/>
      <c r="E1012" s="4" t="str">
        <f>"083112010"</f>
        <v>083112010</v>
      </c>
      <c r="F1012" s="10">
        <v>40347</v>
      </c>
      <c r="G1012" s="11">
        <v>3324.76</v>
      </c>
      <c r="H1012" s="11">
        <v>3324.76</v>
      </c>
      <c r="I1012" s="4" t="s">
        <v>366</v>
      </c>
      <c r="J1012" s="4" t="s">
        <v>367</v>
      </c>
      <c r="K1012" s="11">
        <v>0</v>
      </c>
      <c r="L1012" s="4"/>
      <c r="M1012" s="4"/>
      <c r="N1012" s="11">
        <v>0</v>
      </c>
      <c r="O1012" s="4"/>
      <c r="P1012" s="4"/>
      <c r="Q1012" s="11">
        <v>0</v>
      </c>
      <c r="R1012" s="4"/>
      <c r="S1012" s="12"/>
    </row>
    <row r="1013" spans="1:19" x14ac:dyDescent="0.25">
      <c r="A1013" s="9" t="s">
        <v>359</v>
      </c>
      <c r="B1013" s="9" t="s">
        <v>359</v>
      </c>
      <c r="C1013" s="4">
        <v>201004001</v>
      </c>
      <c r="D1013" s="4"/>
      <c r="E1013" s="4" t="str">
        <f>"085382010"</f>
        <v>085382010</v>
      </c>
      <c r="F1013" s="10">
        <v>40357</v>
      </c>
      <c r="G1013" s="11">
        <v>3413.76</v>
      </c>
      <c r="H1013" s="11">
        <v>3413.76</v>
      </c>
      <c r="I1013" s="4" t="s">
        <v>366</v>
      </c>
      <c r="J1013" s="4" t="s">
        <v>367</v>
      </c>
      <c r="K1013" s="11">
        <v>0</v>
      </c>
      <c r="L1013" s="4"/>
      <c r="M1013" s="4"/>
      <c r="N1013" s="11">
        <v>0</v>
      </c>
      <c r="O1013" s="4"/>
      <c r="P1013" s="4"/>
      <c r="Q1013" s="11">
        <v>0</v>
      </c>
      <c r="R1013" s="4"/>
      <c r="S1013" s="12"/>
    </row>
    <row r="1014" spans="1:19" x14ac:dyDescent="0.25">
      <c r="A1014" s="9" t="s">
        <v>359</v>
      </c>
      <c r="B1014" s="9" t="s">
        <v>359</v>
      </c>
      <c r="C1014" s="4">
        <v>201004011</v>
      </c>
      <c r="D1014" s="4" t="s">
        <v>1903</v>
      </c>
      <c r="E1014" s="4" t="str">
        <f>"081462010"</f>
        <v>081462010</v>
      </c>
      <c r="F1014" s="10">
        <v>40354</v>
      </c>
      <c r="G1014" s="11">
        <v>23500</v>
      </c>
      <c r="H1014" s="11">
        <v>23500</v>
      </c>
      <c r="I1014" s="4" t="s">
        <v>366</v>
      </c>
      <c r="J1014" s="4" t="s">
        <v>367</v>
      </c>
      <c r="K1014" s="11">
        <v>0</v>
      </c>
      <c r="L1014" s="4"/>
      <c r="M1014" s="4"/>
      <c r="N1014" s="11">
        <v>0</v>
      </c>
      <c r="O1014" s="4"/>
      <c r="P1014" s="4"/>
      <c r="Q1014" s="11">
        <v>0</v>
      </c>
      <c r="R1014" s="4"/>
      <c r="S1014" s="12"/>
    </row>
    <row r="1015" spans="1:19" x14ac:dyDescent="0.25">
      <c r="A1015" s="9" t="s">
        <v>359</v>
      </c>
      <c r="B1015" s="9" t="s">
        <v>359</v>
      </c>
      <c r="C1015" s="4">
        <v>201004013</v>
      </c>
      <c r="D1015" s="4" t="s">
        <v>1904</v>
      </c>
      <c r="E1015" s="4" t="str">
        <f>"081982010"</f>
        <v>081982010</v>
      </c>
      <c r="F1015" s="10">
        <v>40354</v>
      </c>
      <c r="G1015" s="11">
        <v>10775</v>
      </c>
      <c r="H1015" s="11">
        <v>10775</v>
      </c>
      <c r="I1015" s="4" t="s">
        <v>366</v>
      </c>
      <c r="J1015" s="4" t="s">
        <v>367</v>
      </c>
      <c r="K1015" s="11">
        <v>0</v>
      </c>
      <c r="L1015" s="4"/>
      <c r="M1015" s="4"/>
      <c r="N1015" s="11">
        <v>0</v>
      </c>
      <c r="O1015" s="4"/>
      <c r="P1015" s="4"/>
      <c r="Q1015" s="11">
        <v>0</v>
      </c>
      <c r="R1015" s="4"/>
      <c r="S1015" s="12"/>
    </row>
    <row r="1016" spans="1:19" x14ac:dyDescent="0.25">
      <c r="A1016" s="9" t="s">
        <v>359</v>
      </c>
      <c r="B1016" s="9" t="s">
        <v>359</v>
      </c>
      <c r="C1016" s="4">
        <v>201004058</v>
      </c>
      <c r="D1016" s="4"/>
      <c r="E1016" s="4" t="str">
        <f>"083342010"</f>
        <v>083342010</v>
      </c>
      <c r="F1016" s="10">
        <v>40353</v>
      </c>
      <c r="G1016" s="11">
        <v>7500</v>
      </c>
      <c r="H1016" s="11">
        <v>7500</v>
      </c>
      <c r="I1016" s="4" t="s">
        <v>366</v>
      </c>
      <c r="J1016" s="4" t="s">
        <v>367</v>
      </c>
      <c r="K1016" s="11">
        <v>0</v>
      </c>
      <c r="L1016" s="4"/>
      <c r="M1016" s="4"/>
      <c r="N1016" s="11">
        <v>0</v>
      </c>
      <c r="O1016" s="4"/>
      <c r="P1016" s="4"/>
      <c r="Q1016" s="11">
        <v>0</v>
      </c>
      <c r="R1016" s="4"/>
      <c r="S1016" s="12"/>
    </row>
    <row r="1017" spans="1:19" x14ac:dyDescent="0.25">
      <c r="A1017" s="9" t="s">
        <v>359</v>
      </c>
      <c r="B1017" s="9" t="s">
        <v>359</v>
      </c>
      <c r="C1017" s="4">
        <v>201004064</v>
      </c>
      <c r="D1017" s="4"/>
      <c r="E1017" s="4" t="str">
        <f>"081802010"</f>
        <v>081802010</v>
      </c>
      <c r="F1017" s="10">
        <v>40353</v>
      </c>
      <c r="G1017" s="11">
        <v>2834.82</v>
      </c>
      <c r="H1017" s="11">
        <v>2834.82</v>
      </c>
      <c r="I1017" s="4" t="s">
        <v>366</v>
      </c>
      <c r="J1017" s="4" t="s">
        <v>367</v>
      </c>
      <c r="K1017" s="11">
        <v>0</v>
      </c>
      <c r="L1017" s="4"/>
      <c r="M1017" s="4"/>
      <c r="N1017" s="11">
        <v>0</v>
      </c>
      <c r="O1017" s="4"/>
      <c r="P1017" s="4"/>
      <c r="Q1017" s="11">
        <v>0</v>
      </c>
      <c r="R1017" s="4"/>
      <c r="S1017" s="12"/>
    </row>
    <row r="1018" spans="1:19" x14ac:dyDescent="0.25">
      <c r="A1018" s="9" t="s">
        <v>359</v>
      </c>
      <c r="B1018" s="9" t="s">
        <v>359</v>
      </c>
      <c r="C1018" s="4">
        <v>201004068</v>
      </c>
      <c r="D1018" s="4"/>
      <c r="E1018" s="4" t="str">
        <f>"081842010"</f>
        <v>081842010</v>
      </c>
      <c r="F1018" s="10">
        <v>40353</v>
      </c>
      <c r="G1018" s="11">
        <v>5516.85</v>
      </c>
      <c r="H1018" s="11">
        <v>5516.85</v>
      </c>
      <c r="I1018" s="4" t="s">
        <v>366</v>
      </c>
      <c r="J1018" s="4" t="s">
        <v>367</v>
      </c>
      <c r="K1018" s="11">
        <v>0</v>
      </c>
      <c r="L1018" s="4"/>
      <c r="M1018" s="4"/>
      <c r="N1018" s="11">
        <v>0</v>
      </c>
      <c r="O1018" s="4"/>
      <c r="P1018" s="4"/>
      <c r="Q1018" s="11">
        <v>0</v>
      </c>
      <c r="R1018" s="4"/>
      <c r="S1018" s="12"/>
    </row>
    <row r="1019" spans="1:19" x14ac:dyDescent="0.25">
      <c r="A1019" s="9" t="s">
        <v>359</v>
      </c>
      <c r="B1019" s="9" t="s">
        <v>359</v>
      </c>
      <c r="C1019" s="4">
        <v>201004089</v>
      </c>
      <c r="D1019" s="4"/>
      <c r="E1019" s="4" t="str">
        <f>"087222010"</f>
        <v>087222010</v>
      </c>
      <c r="F1019" s="10">
        <v>40358</v>
      </c>
      <c r="G1019" s="11">
        <v>5732.26</v>
      </c>
      <c r="H1019" s="11">
        <v>5732.26</v>
      </c>
      <c r="I1019" s="4" t="s">
        <v>366</v>
      </c>
      <c r="J1019" s="4" t="s">
        <v>367</v>
      </c>
      <c r="K1019" s="11">
        <v>0</v>
      </c>
      <c r="L1019" s="4"/>
      <c r="M1019" s="4"/>
      <c r="N1019" s="11">
        <v>0</v>
      </c>
      <c r="O1019" s="4"/>
      <c r="P1019" s="4"/>
      <c r="Q1019" s="11">
        <v>0</v>
      </c>
      <c r="R1019" s="4"/>
      <c r="S1019" s="12"/>
    </row>
    <row r="1020" spans="1:19" x14ac:dyDescent="0.25">
      <c r="A1020" s="9" t="s">
        <v>359</v>
      </c>
      <c r="B1020" s="9" t="s">
        <v>359</v>
      </c>
      <c r="C1020" s="4">
        <v>201004094</v>
      </c>
      <c r="D1020" s="4"/>
      <c r="E1020" s="4" t="str">
        <f>"083012010"</f>
        <v>083012010</v>
      </c>
      <c r="F1020" s="10">
        <v>40347</v>
      </c>
      <c r="G1020" s="11">
        <v>4297.6000000000004</v>
      </c>
      <c r="H1020" s="11">
        <v>4297.6000000000004</v>
      </c>
      <c r="I1020" s="4" t="s">
        <v>366</v>
      </c>
      <c r="J1020" s="4" t="s">
        <v>367</v>
      </c>
      <c r="K1020" s="11">
        <v>0</v>
      </c>
      <c r="L1020" s="4"/>
      <c r="M1020" s="4"/>
      <c r="N1020" s="11">
        <v>0</v>
      </c>
      <c r="O1020" s="4"/>
      <c r="P1020" s="4"/>
      <c r="Q1020" s="11">
        <v>0</v>
      </c>
      <c r="R1020" s="4"/>
      <c r="S1020" s="12"/>
    </row>
    <row r="1021" spans="1:19" x14ac:dyDescent="0.25">
      <c r="A1021" s="9" t="s">
        <v>359</v>
      </c>
      <c r="B1021" s="9" t="s">
        <v>359</v>
      </c>
      <c r="C1021" s="4">
        <v>201004096</v>
      </c>
      <c r="D1021" s="4"/>
      <c r="E1021" s="4" t="str">
        <f>"083362010"</f>
        <v>083362010</v>
      </c>
      <c r="F1021" s="10">
        <v>40352</v>
      </c>
      <c r="G1021" s="11">
        <v>5464.98</v>
      </c>
      <c r="H1021" s="11">
        <v>5464.98</v>
      </c>
      <c r="I1021" s="4" t="s">
        <v>366</v>
      </c>
      <c r="J1021" s="4" t="s">
        <v>367</v>
      </c>
      <c r="K1021" s="11">
        <v>0</v>
      </c>
      <c r="L1021" s="4"/>
      <c r="M1021" s="4"/>
      <c r="N1021" s="11">
        <v>0</v>
      </c>
      <c r="O1021" s="4"/>
      <c r="P1021" s="4"/>
      <c r="Q1021" s="11">
        <v>0</v>
      </c>
      <c r="R1021" s="4"/>
      <c r="S1021" s="12"/>
    </row>
    <row r="1022" spans="1:19" x14ac:dyDescent="0.25">
      <c r="A1022" s="9" t="s">
        <v>359</v>
      </c>
      <c r="B1022" s="9" t="s">
        <v>359</v>
      </c>
      <c r="C1022" s="4">
        <v>201004099</v>
      </c>
      <c r="D1022" s="4"/>
      <c r="E1022" s="4" t="str">
        <f>"085802010"</f>
        <v>085802010</v>
      </c>
      <c r="F1022" s="10">
        <v>40357</v>
      </c>
      <c r="G1022" s="11">
        <v>2585</v>
      </c>
      <c r="H1022" s="11">
        <v>2585</v>
      </c>
      <c r="I1022" s="4" t="s">
        <v>366</v>
      </c>
      <c r="J1022" s="4" t="s">
        <v>367</v>
      </c>
      <c r="K1022" s="11">
        <v>0</v>
      </c>
      <c r="L1022" s="4"/>
      <c r="M1022" s="4"/>
      <c r="N1022" s="11">
        <v>0</v>
      </c>
      <c r="O1022" s="4"/>
      <c r="P1022" s="4"/>
      <c r="Q1022" s="11">
        <v>0</v>
      </c>
      <c r="R1022" s="4"/>
      <c r="S1022" s="12"/>
    </row>
    <row r="1023" spans="1:19" x14ac:dyDescent="0.25">
      <c r="A1023" s="9" t="s">
        <v>359</v>
      </c>
      <c r="B1023" s="9" t="s">
        <v>359</v>
      </c>
      <c r="C1023" s="4">
        <v>201004109</v>
      </c>
      <c r="D1023" s="4" t="s">
        <v>1905</v>
      </c>
      <c r="E1023" s="4" t="str">
        <f>"085482010"</f>
        <v>085482010</v>
      </c>
      <c r="F1023" s="10">
        <v>40357</v>
      </c>
      <c r="G1023" s="11">
        <v>14500</v>
      </c>
      <c r="H1023" s="11">
        <v>14500</v>
      </c>
      <c r="I1023" s="4" t="s">
        <v>366</v>
      </c>
      <c r="J1023" s="4" t="s">
        <v>367</v>
      </c>
      <c r="K1023" s="11">
        <v>0</v>
      </c>
      <c r="L1023" s="4"/>
      <c r="M1023" s="4"/>
      <c r="N1023" s="11">
        <v>0</v>
      </c>
      <c r="O1023" s="4"/>
      <c r="P1023" s="4"/>
      <c r="Q1023" s="11">
        <v>0</v>
      </c>
      <c r="R1023" s="4"/>
      <c r="S1023" s="12"/>
    </row>
    <row r="1024" spans="1:19" x14ac:dyDescent="0.25">
      <c r="A1024" s="9" t="s">
        <v>359</v>
      </c>
      <c r="B1024" s="9" t="s">
        <v>359</v>
      </c>
      <c r="C1024" s="4">
        <v>201004112</v>
      </c>
      <c r="D1024" s="4" t="s">
        <v>1906</v>
      </c>
      <c r="E1024" s="4" t="str">
        <f>"083862010"</f>
        <v>083862010</v>
      </c>
      <c r="F1024" s="10">
        <v>40358</v>
      </c>
      <c r="G1024" s="11">
        <v>5000</v>
      </c>
      <c r="H1024" s="11">
        <v>5000</v>
      </c>
      <c r="I1024" s="4" t="s">
        <v>366</v>
      </c>
      <c r="J1024" s="4" t="s">
        <v>367</v>
      </c>
      <c r="K1024" s="11">
        <v>0</v>
      </c>
      <c r="L1024" s="4"/>
      <c r="M1024" s="4"/>
      <c r="N1024" s="11">
        <v>0</v>
      </c>
      <c r="O1024" s="4"/>
      <c r="P1024" s="4"/>
      <c r="Q1024" s="11">
        <v>0</v>
      </c>
      <c r="R1024" s="4"/>
      <c r="S1024" s="12"/>
    </row>
    <row r="1025" spans="1:19" x14ac:dyDescent="0.25">
      <c r="A1025" s="9" t="s">
        <v>359</v>
      </c>
      <c r="B1025" s="9" t="s">
        <v>359</v>
      </c>
      <c r="C1025" s="4">
        <v>201004113</v>
      </c>
      <c r="D1025" s="4" t="s">
        <v>1907</v>
      </c>
      <c r="E1025" s="4" t="str">
        <f>"085522010"</f>
        <v>085522010</v>
      </c>
      <c r="F1025" s="10">
        <v>40357</v>
      </c>
      <c r="G1025" s="11">
        <v>20000</v>
      </c>
      <c r="H1025" s="11">
        <v>20000</v>
      </c>
      <c r="I1025" s="4" t="s">
        <v>366</v>
      </c>
      <c r="J1025" s="4" t="s">
        <v>367</v>
      </c>
      <c r="K1025" s="11">
        <v>0</v>
      </c>
      <c r="L1025" s="4"/>
      <c r="M1025" s="4"/>
      <c r="N1025" s="11">
        <v>0</v>
      </c>
      <c r="O1025" s="4"/>
      <c r="P1025" s="4"/>
      <c r="Q1025" s="11">
        <v>0</v>
      </c>
      <c r="R1025" s="4"/>
      <c r="S1025" s="12"/>
    </row>
    <row r="1026" spans="1:19" x14ac:dyDescent="0.25">
      <c r="A1026" s="9" t="s">
        <v>359</v>
      </c>
      <c r="B1026" s="9" t="s">
        <v>359</v>
      </c>
      <c r="C1026" s="4">
        <v>201004114</v>
      </c>
      <c r="D1026" s="4" t="s">
        <v>1908</v>
      </c>
      <c r="E1026" s="4" t="str">
        <f>"085542010"</f>
        <v>085542010</v>
      </c>
      <c r="F1026" s="10">
        <v>40357</v>
      </c>
      <c r="G1026" s="11">
        <v>22000</v>
      </c>
      <c r="H1026" s="11">
        <v>22000</v>
      </c>
      <c r="I1026" s="4" t="s">
        <v>931</v>
      </c>
      <c r="J1026" s="4" t="s">
        <v>932</v>
      </c>
      <c r="K1026" s="11">
        <v>0</v>
      </c>
      <c r="L1026" s="4"/>
      <c r="M1026" s="4"/>
      <c r="N1026" s="11">
        <v>0</v>
      </c>
      <c r="O1026" s="4"/>
      <c r="P1026" s="4"/>
      <c r="Q1026" s="11">
        <v>0</v>
      </c>
      <c r="R1026" s="4"/>
      <c r="S1026" s="12"/>
    </row>
    <row r="1027" spans="1:19" x14ac:dyDescent="0.25">
      <c r="A1027" s="9" t="s">
        <v>359</v>
      </c>
      <c r="B1027" s="9" t="s">
        <v>359</v>
      </c>
      <c r="C1027" s="4">
        <v>201004122</v>
      </c>
      <c r="D1027" s="4" t="s">
        <v>1909</v>
      </c>
      <c r="E1027" s="4" t="str">
        <f>"086802010"</f>
        <v>086802010</v>
      </c>
      <c r="F1027" s="10">
        <v>40357</v>
      </c>
      <c r="G1027" s="11">
        <v>23000</v>
      </c>
      <c r="H1027" s="11">
        <v>23000</v>
      </c>
      <c r="I1027" s="4" t="s">
        <v>366</v>
      </c>
      <c r="J1027" s="4" t="s">
        <v>367</v>
      </c>
      <c r="K1027" s="11">
        <v>0</v>
      </c>
      <c r="L1027" s="4"/>
      <c r="M1027" s="4"/>
      <c r="N1027" s="11">
        <v>0</v>
      </c>
      <c r="O1027" s="4"/>
      <c r="P1027" s="4"/>
      <c r="Q1027" s="11">
        <v>0</v>
      </c>
      <c r="R1027" s="4"/>
      <c r="S1027" s="12"/>
    </row>
    <row r="1028" spans="1:19" x14ac:dyDescent="0.25">
      <c r="A1028" s="9" t="s">
        <v>359</v>
      </c>
      <c r="B1028" s="9" t="s">
        <v>359</v>
      </c>
      <c r="C1028" s="4">
        <v>201004228</v>
      </c>
      <c r="D1028" s="4"/>
      <c r="E1028" s="4" t="str">
        <f>"085842010"</f>
        <v>085842010</v>
      </c>
      <c r="F1028" s="10">
        <v>40357</v>
      </c>
      <c r="G1028" s="11">
        <v>6125.4</v>
      </c>
      <c r="H1028" s="11">
        <v>6125.4</v>
      </c>
      <c r="I1028" s="4" t="s">
        <v>54</v>
      </c>
      <c r="J1028" s="4" t="s">
        <v>55</v>
      </c>
      <c r="K1028" s="11">
        <v>0</v>
      </c>
      <c r="L1028" s="4"/>
      <c r="M1028" s="4"/>
      <c r="N1028" s="11">
        <v>0</v>
      </c>
      <c r="O1028" s="4"/>
      <c r="P1028" s="4"/>
      <c r="Q1028" s="11">
        <v>0</v>
      </c>
      <c r="R1028" s="4"/>
      <c r="S1028" s="12"/>
    </row>
    <row r="1029" spans="1:19" x14ac:dyDescent="0.25">
      <c r="A1029" s="9" t="s">
        <v>359</v>
      </c>
      <c r="B1029" s="9" t="s">
        <v>359</v>
      </c>
      <c r="C1029" s="4">
        <v>201004230</v>
      </c>
      <c r="D1029" s="4"/>
      <c r="E1029" s="4" t="str">
        <f>"086002010"</f>
        <v>086002010</v>
      </c>
      <c r="F1029" s="10">
        <v>40357</v>
      </c>
      <c r="G1029" s="11">
        <v>2570.33</v>
      </c>
      <c r="H1029" s="11">
        <v>2570.33</v>
      </c>
      <c r="I1029" s="4" t="s">
        <v>366</v>
      </c>
      <c r="J1029" s="4" t="s">
        <v>367</v>
      </c>
      <c r="K1029" s="11">
        <v>0</v>
      </c>
      <c r="L1029" s="4"/>
      <c r="M1029" s="4"/>
      <c r="N1029" s="11">
        <v>0</v>
      </c>
      <c r="O1029" s="4"/>
      <c r="P1029" s="4"/>
      <c r="Q1029" s="11">
        <v>0</v>
      </c>
      <c r="R1029" s="4"/>
      <c r="S1029" s="12"/>
    </row>
    <row r="1030" spans="1:19" x14ac:dyDescent="0.25">
      <c r="A1030" s="9" t="s">
        <v>359</v>
      </c>
      <c r="B1030" s="9" t="s">
        <v>359</v>
      </c>
      <c r="C1030" s="4">
        <v>201004336</v>
      </c>
      <c r="D1030" s="4"/>
      <c r="E1030" s="4" t="str">
        <f>"088442010"</f>
        <v>088442010</v>
      </c>
      <c r="F1030" s="10">
        <v>40360</v>
      </c>
      <c r="G1030" s="11">
        <v>3834.62</v>
      </c>
      <c r="H1030" s="11">
        <v>3834.62</v>
      </c>
      <c r="I1030" s="4" t="s">
        <v>366</v>
      </c>
      <c r="J1030" s="4" t="s">
        <v>367</v>
      </c>
      <c r="K1030" s="11">
        <v>0</v>
      </c>
      <c r="L1030" s="4"/>
      <c r="M1030" s="4"/>
      <c r="N1030" s="11">
        <v>0</v>
      </c>
      <c r="O1030" s="4"/>
      <c r="P1030" s="4"/>
      <c r="Q1030" s="11">
        <v>0</v>
      </c>
      <c r="R1030" s="4"/>
      <c r="S1030" s="12"/>
    </row>
    <row r="1031" spans="1:19" x14ac:dyDescent="0.25">
      <c r="A1031" s="9" t="s">
        <v>359</v>
      </c>
      <c r="B1031" s="9" t="s">
        <v>359</v>
      </c>
      <c r="C1031" s="4">
        <v>201004350</v>
      </c>
      <c r="D1031" s="4"/>
      <c r="E1031" s="4" t="str">
        <f>"087162010"</f>
        <v>087162010</v>
      </c>
      <c r="F1031" s="10">
        <v>40357</v>
      </c>
      <c r="G1031" s="11">
        <v>3182.15</v>
      </c>
      <c r="H1031" s="11">
        <v>3182.15</v>
      </c>
      <c r="I1031" s="4" t="s">
        <v>366</v>
      </c>
      <c r="J1031" s="4" t="s">
        <v>367</v>
      </c>
      <c r="K1031" s="11">
        <v>0</v>
      </c>
      <c r="L1031" s="4"/>
      <c r="M1031" s="4"/>
      <c r="N1031" s="11">
        <v>0</v>
      </c>
      <c r="O1031" s="4"/>
      <c r="P1031" s="4"/>
      <c r="Q1031" s="11">
        <v>0</v>
      </c>
      <c r="R1031" s="4"/>
      <c r="S1031" s="12"/>
    </row>
    <row r="1032" spans="1:19" x14ac:dyDescent="0.25">
      <c r="A1032" s="9" t="s">
        <v>359</v>
      </c>
      <c r="B1032" s="9" t="s">
        <v>359</v>
      </c>
      <c r="C1032" s="4">
        <v>201004359</v>
      </c>
      <c r="D1032" s="4"/>
      <c r="E1032" s="4" t="str">
        <f>"087182010"</f>
        <v>087182010</v>
      </c>
      <c r="F1032" s="10">
        <v>40358</v>
      </c>
      <c r="G1032" s="11">
        <v>3674.11</v>
      </c>
      <c r="H1032" s="11">
        <v>3674.11</v>
      </c>
      <c r="I1032" s="4" t="s">
        <v>366</v>
      </c>
      <c r="J1032" s="4" t="s">
        <v>367</v>
      </c>
      <c r="K1032" s="11">
        <v>0</v>
      </c>
      <c r="L1032" s="4"/>
      <c r="M1032" s="4"/>
      <c r="N1032" s="11">
        <v>0</v>
      </c>
      <c r="O1032" s="4"/>
      <c r="P1032" s="4"/>
      <c r="Q1032" s="11">
        <v>0</v>
      </c>
      <c r="R1032" s="4"/>
      <c r="S1032" s="12"/>
    </row>
    <row r="1033" spans="1:19" x14ac:dyDescent="0.25">
      <c r="A1033" s="9" t="s">
        <v>359</v>
      </c>
      <c r="B1033" s="9" t="s">
        <v>359</v>
      </c>
      <c r="C1033" s="4">
        <v>201004361</v>
      </c>
      <c r="D1033" s="4"/>
      <c r="E1033" s="4" t="str">
        <f>"087202010"</f>
        <v>087202010</v>
      </c>
      <c r="F1033" s="10">
        <v>40358</v>
      </c>
      <c r="G1033" s="11">
        <v>3748.52</v>
      </c>
      <c r="H1033" s="11">
        <v>3748.52</v>
      </c>
      <c r="I1033" s="4" t="s">
        <v>366</v>
      </c>
      <c r="J1033" s="4" t="s">
        <v>367</v>
      </c>
      <c r="K1033" s="11">
        <v>0</v>
      </c>
      <c r="L1033" s="4"/>
      <c r="M1033" s="4"/>
      <c r="N1033" s="11">
        <v>0</v>
      </c>
      <c r="O1033" s="4"/>
      <c r="P1033" s="4"/>
      <c r="Q1033" s="11">
        <v>0</v>
      </c>
      <c r="R1033" s="4"/>
      <c r="S1033" s="12"/>
    </row>
    <row r="1034" spans="1:19" x14ac:dyDescent="0.25">
      <c r="A1034" s="9" t="s">
        <v>359</v>
      </c>
      <c r="B1034" s="9" t="s">
        <v>359</v>
      </c>
      <c r="C1034" s="4">
        <v>201004374</v>
      </c>
      <c r="D1034" s="4"/>
      <c r="E1034" s="4" t="str">
        <f>"087142010"</f>
        <v>087142010</v>
      </c>
      <c r="F1034" s="10">
        <v>40358</v>
      </c>
      <c r="G1034" s="11">
        <v>2752.25</v>
      </c>
      <c r="H1034" s="11">
        <v>2752.25</v>
      </c>
      <c r="I1034" s="4" t="s">
        <v>366</v>
      </c>
      <c r="J1034" s="4" t="s">
        <v>367</v>
      </c>
      <c r="K1034" s="11">
        <v>0</v>
      </c>
      <c r="L1034" s="4"/>
      <c r="M1034" s="4"/>
      <c r="N1034" s="11">
        <v>0</v>
      </c>
      <c r="O1034" s="4"/>
      <c r="P1034" s="4"/>
      <c r="Q1034" s="11">
        <v>0</v>
      </c>
      <c r="R1034" s="4"/>
      <c r="S1034" s="12"/>
    </row>
    <row r="1035" spans="1:19" x14ac:dyDescent="0.25">
      <c r="A1035" s="9" t="s">
        <v>359</v>
      </c>
      <c r="B1035" s="9" t="s">
        <v>359</v>
      </c>
      <c r="C1035" s="4">
        <v>201004393</v>
      </c>
      <c r="D1035" s="4"/>
      <c r="E1035" s="4" t="str">
        <f>"091162010"</f>
        <v>091162010</v>
      </c>
      <c r="F1035" s="10">
        <v>40368</v>
      </c>
      <c r="G1035" s="11">
        <v>2774.76</v>
      </c>
      <c r="H1035" s="11">
        <v>2774.76</v>
      </c>
      <c r="I1035" s="4" t="s">
        <v>366</v>
      </c>
      <c r="J1035" s="4" t="s">
        <v>367</v>
      </c>
      <c r="K1035" s="11">
        <v>0</v>
      </c>
      <c r="L1035" s="4"/>
      <c r="M1035" s="4"/>
      <c r="N1035" s="11">
        <v>0</v>
      </c>
      <c r="O1035" s="4"/>
      <c r="P1035" s="4"/>
      <c r="Q1035" s="11">
        <v>0</v>
      </c>
      <c r="R1035" s="4"/>
      <c r="S1035" s="12"/>
    </row>
    <row r="1036" spans="1:19" x14ac:dyDescent="0.25">
      <c r="A1036" s="9" t="s">
        <v>359</v>
      </c>
      <c r="B1036" s="9" t="s">
        <v>359</v>
      </c>
      <c r="C1036" s="4">
        <v>201004401</v>
      </c>
      <c r="D1036" s="4"/>
      <c r="E1036" s="4" t="str">
        <f>"088022010"</f>
        <v>088022010</v>
      </c>
      <c r="F1036" s="10">
        <v>40367</v>
      </c>
      <c r="G1036" s="11">
        <v>5499.79</v>
      </c>
      <c r="H1036" s="11">
        <v>5499.79</v>
      </c>
      <c r="I1036" s="4" t="s">
        <v>366</v>
      </c>
      <c r="J1036" s="4" t="s">
        <v>367</v>
      </c>
      <c r="K1036" s="11">
        <v>0</v>
      </c>
      <c r="L1036" s="4"/>
      <c r="M1036" s="4"/>
      <c r="N1036" s="11">
        <v>0</v>
      </c>
      <c r="O1036" s="4"/>
      <c r="P1036" s="4"/>
      <c r="Q1036" s="11">
        <v>0</v>
      </c>
      <c r="R1036" s="4"/>
      <c r="S1036" s="12"/>
    </row>
    <row r="1037" spans="1:19" x14ac:dyDescent="0.25">
      <c r="A1037" s="9" t="s">
        <v>359</v>
      </c>
      <c r="B1037" s="9" t="s">
        <v>359</v>
      </c>
      <c r="C1037" s="4">
        <v>201004410</v>
      </c>
      <c r="D1037" s="4"/>
      <c r="E1037" s="4" t="str">
        <f>"088962010"</f>
        <v>088962010</v>
      </c>
      <c r="F1037" s="10">
        <v>40366</v>
      </c>
      <c r="G1037" s="11">
        <v>3501.01</v>
      </c>
      <c r="H1037" s="11">
        <v>3501.01</v>
      </c>
      <c r="I1037" s="4" t="s">
        <v>366</v>
      </c>
      <c r="J1037" s="4" t="s">
        <v>367</v>
      </c>
      <c r="K1037" s="11">
        <v>0</v>
      </c>
      <c r="L1037" s="4"/>
      <c r="M1037" s="4"/>
      <c r="N1037" s="11">
        <v>0</v>
      </c>
      <c r="O1037" s="4"/>
      <c r="P1037" s="4"/>
      <c r="Q1037" s="11">
        <v>0</v>
      </c>
      <c r="R1037" s="4"/>
      <c r="S1037" s="12"/>
    </row>
    <row r="1038" spans="1:19" x14ac:dyDescent="0.25">
      <c r="A1038" s="9" t="s">
        <v>359</v>
      </c>
      <c r="B1038" s="9" t="s">
        <v>359</v>
      </c>
      <c r="C1038" s="4">
        <v>201004440</v>
      </c>
      <c r="D1038" s="4"/>
      <c r="E1038" s="4" t="str">
        <f>"089422010"</f>
        <v>089422010</v>
      </c>
      <c r="F1038" s="10">
        <v>40367</v>
      </c>
      <c r="G1038" s="11">
        <v>4588.6000000000004</v>
      </c>
      <c r="H1038" s="11">
        <v>4588.6000000000004</v>
      </c>
      <c r="I1038" s="4" t="s">
        <v>366</v>
      </c>
      <c r="J1038" s="4" t="s">
        <v>367</v>
      </c>
      <c r="K1038" s="11">
        <v>0</v>
      </c>
      <c r="L1038" s="4"/>
      <c r="M1038" s="4"/>
      <c r="N1038" s="11">
        <v>0</v>
      </c>
      <c r="O1038" s="4"/>
      <c r="P1038" s="4"/>
      <c r="Q1038" s="11">
        <v>0</v>
      </c>
      <c r="R1038" s="4"/>
      <c r="S1038" s="12"/>
    </row>
    <row r="1039" spans="1:19" x14ac:dyDescent="0.25">
      <c r="A1039" s="9" t="s">
        <v>359</v>
      </c>
      <c r="B1039" s="9" t="s">
        <v>359</v>
      </c>
      <c r="C1039" s="4">
        <v>201004441</v>
      </c>
      <c r="D1039" s="4"/>
      <c r="E1039" s="4" t="str">
        <f>"089342010"</f>
        <v>089342010</v>
      </c>
      <c r="F1039" s="10">
        <v>40367</v>
      </c>
      <c r="G1039" s="11">
        <v>2888.67</v>
      </c>
      <c r="H1039" s="11">
        <v>2888.67</v>
      </c>
      <c r="I1039" s="4" t="s">
        <v>366</v>
      </c>
      <c r="J1039" s="4" t="s">
        <v>367</v>
      </c>
      <c r="K1039" s="11">
        <v>0</v>
      </c>
      <c r="L1039" s="4"/>
      <c r="M1039" s="4"/>
      <c r="N1039" s="11">
        <v>0</v>
      </c>
      <c r="O1039" s="4"/>
      <c r="P1039" s="4"/>
      <c r="Q1039" s="11">
        <v>0</v>
      </c>
      <c r="R1039" s="4"/>
      <c r="S1039" s="12"/>
    </row>
    <row r="1040" spans="1:19" x14ac:dyDescent="0.25">
      <c r="A1040" s="9" t="s">
        <v>359</v>
      </c>
      <c r="B1040" s="9" t="s">
        <v>359</v>
      </c>
      <c r="C1040" s="4">
        <v>201004445</v>
      </c>
      <c r="D1040" s="4"/>
      <c r="E1040" s="4" t="str">
        <f>"091062010"</f>
        <v>091062010</v>
      </c>
      <c r="F1040" s="10">
        <v>40368</v>
      </c>
      <c r="G1040" s="11">
        <v>2726.72</v>
      </c>
      <c r="H1040" s="11">
        <v>2726.72</v>
      </c>
      <c r="I1040" s="4" t="s">
        <v>366</v>
      </c>
      <c r="J1040" s="4" t="s">
        <v>367</v>
      </c>
      <c r="K1040" s="11">
        <v>0</v>
      </c>
      <c r="L1040" s="4"/>
      <c r="M1040" s="4"/>
      <c r="N1040" s="11">
        <v>0</v>
      </c>
      <c r="O1040" s="4"/>
      <c r="P1040" s="4"/>
      <c r="Q1040" s="11">
        <v>0</v>
      </c>
      <c r="R1040" s="4"/>
      <c r="S1040" s="12"/>
    </row>
    <row r="1041" spans="1:19" x14ac:dyDescent="0.25">
      <c r="A1041" s="9" t="s">
        <v>359</v>
      </c>
      <c r="B1041" s="9" t="s">
        <v>359</v>
      </c>
      <c r="C1041" s="4">
        <v>201004446</v>
      </c>
      <c r="D1041" s="4" t="s">
        <v>1910</v>
      </c>
      <c r="E1041" s="4" t="str">
        <f>"089442010"</f>
        <v>089442010</v>
      </c>
      <c r="F1041" s="10">
        <v>40367</v>
      </c>
      <c r="G1041" s="11">
        <v>10000</v>
      </c>
      <c r="H1041" s="11">
        <v>10000</v>
      </c>
      <c r="I1041" s="4" t="s">
        <v>366</v>
      </c>
      <c r="J1041" s="4" t="s">
        <v>367</v>
      </c>
      <c r="K1041" s="11">
        <v>0</v>
      </c>
      <c r="L1041" s="4"/>
      <c r="M1041" s="4"/>
      <c r="N1041" s="11">
        <v>0</v>
      </c>
      <c r="O1041" s="4"/>
      <c r="P1041" s="4"/>
      <c r="Q1041" s="11">
        <v>0</v>
      </c>
      <c r="R1041" s="4"/>
      <c r="S1041" s="12"/>
    </row>
    <row r="1042" spans="1:19" x14ac:dyDescent="0.25">
      <c r="A1042" s="9" t="s">
        <v>359</v>
      </c>
      <c r="B1042" s="9" t="s">
        <v>359</v>
      </c>
      <c r="C1042" s="4">
        <v>201004475</v>
      </c>
      <c r="D1042" s="4"/>
      <c r="E1042" s="4" t="str">
        <f>"089462010"</f>
        <v>089462010</v>
      </c>
      <c r="F1042" s="10">
        <v>40366</v>
      </c>
      <c r="G1042" s="11">
        <v>25000</v>
      </c>
      <c r="H1042" s="11">
        <v>25000</v>
      </c>
      <c r="I1042" s="4" t="s">
        <v>931</v>
      </c>
      <c r="J1042" s="4" t="s">
        <v>932</v>
      </c>
      <c r="K1042" s="11">
        <v>0</v>
      </c>
      <c r="L1042" s="4"/>
      <c r="M1042" s="4"/>
      <c r="N1042" s="11">
        <v>0</v>
      </c>
      <c r="O1042" s="4"/>
      <c r="P1042" s="4"/>
      <c r="Q1042" s="11">
        <v>0</v>
      </c>
      <c r="R1042" s="4"/>
      <c r="S1042" s="12"/>
    </row>
    <row r="1043" spans="1:19" x14ac:dyDescent="0.25">
      <c r="A1043" s="9" t="s">
        <v>359</v>
      </c>
      <c r="B1043" s="9" t="s">
        <v>359</v>
      </c>
      <c r="C1043" s="4">
        <v>201004484</v>
      </c>
      <c r="D1043" s="4"/>
      <c r="E1043" s="4" t="str">
        <f>"091262010"</f>
        <v>091262010</v>
      </c>
      <c r="F1043" s="10">
        <v>40368</v>
      </c>
      <c r="G1043" s="11">
        <v>4606.41</v>
      </c>
      <c r="H1043" s="11">
        <v>4606.41</v>
      </c>
      <c r="I1043" s="4" t="s">
        <v>366</v>
      </c>
      <c r="J1043" s="4" t="s">
        <v>367</v>
      </c>
      <c r="K1043" s="11">
        <v>0</v>
      </c>
      <c r="L1043" s="4"/>
      <c r="M1043" s="4"/>
      <c r="N1043" s="11">
        <v>0</v>
      </c>
      <c r="O1043" s="4"/>
      <c r="P1043" s="4"/>
      <c r="Q1043" s="11">
        <v>0</v>
      </c>
      <c r="R1043" s="4"/>
      <c r="S1043" s="12"/>
    </row>
    <row r="1044" spans="1:19" x14ac:dyDescent="0.25">
      <c r="A1044" s="9" t="s">
        <v>359</v>
      </c>
      <c r="B1044" s="9" t="s">
        <v>359</v>
      </c>
      <c r="C1044" s="4">
        <v>201004486</v>
      </c>
      <c r="D1044" s="4" t="s">
        <v>1911</v>
      </c>
      <c r="E1044" s="4" t="str">
        <f>"095912010"</f>
        <v>095912010</v>
      </c>
      <c r="F1044" s="10">
        <v>40387</v>
      </c>
      <c r="G1044" s="11">
        <v>5000</v>
      </c>
      <c r="H1044" s="11">
        <v>5000</v>
      </c>
      <c r="I1044" s="4" t="s">
        <v>366</v>
      </c>
      <c r="J1044" s="4" t="s">
        <v>367</v>
      </c>
      <c r="K1044" s="11">
        <v>0</v>
      </c>
      <c r="L1044" s="4"/>
      <c r="M1044" s="4"/>
      <c r="N1044" s="11">
        <v>0</v>
      </c>
      <c r="O1044" s="4"/>
      <c r="P1044" s="4"/>
      <c r="Q1044" s="11">
        <v>0</v>
      </c>
      <c r="R1044" s="4"/>
      <c r="S1044" s="12"/>
    </row>
    <row r="1045" spans="1:19" x14ac:dyDescent="0.25">
      <c r="A1045" s="9" t="s">
        <v>359</v>
      </c>
      <c r="B1045" s="9" t="s">
        <v>359</v>
      </c>
      <c r="C1045" s="4">
        <v>201004488</v>
      </c>
      <c r="D1045" s="4" t="s">
        <v>1911</v>
      </c>
      <c r="E1045" s="4" t="str">
        <f>"095892010"</f>
        <v>095892010</v>
      </c>
      <c r="F1045" s="10">
        <v>40387</v>
      </c>
      <c r="G1045" s="11">
        <v>5000</v>
      </c>
      <c r="H1045" s="11">
        <v>5000</v>
      </c>
      <c r="I1045" s="4" t="s">
        <v>366</v>
      </c>
      <c r="J1045" s="4" t="s">
        <v>367</v>
      </c>
      <c r="K1045" s="11">
        <v>0</v>
      </c>
      <c r="L1045" s="4"/>
      <c r="M1045" s="4"/>
      <c r="N1045" s="11">
        <v>0</v>
      </c>
      <c r="O1045" s="4"/>
      <c r="P1045" s="4"/>
      <c r="Q1045" s="11">
        <v>0</v>
      </c>
      <c r="R1045" s="4"/>
      <c r="S1045" s="12"/>
    </row>
    <row r="1046" spans="1:19" x14ac:dyDescent="0.25">
      <c r="A1046" s="9" t="s">
        <v>359</v>
      </c>
      <c r="B1046" s="9" t="s">
        <v>359</v>
      </c>
      <c r="C1046" s="4">
        <v>201004517</v>
      </c>
      <c r="D1046" s="4"/>
      <c r="E1046" s="4" t="str">
        <f>"092042010"</f>
        <v>092042010</v>
      </c>
      <c r="F1046" s="10">
        <v>40373</v>
      </c>
      <c r="G1046" s="11">
        <v>4050.07</v>
      </c>
      <c r="H1046" s="11">
        <v>4050.07</v>
      </c>
      <c r="I1046" s="4" t="s">
        <v>366</v>
      </c>
      <c r="J1046" s="4" t="s">
        <v>367</v>
      </c>
      <c r="K1046" s="11">
        <v>0</v>
      </c>
      <c r="L1046" s="4"/>
      <c r="M1046" s="4"/>
      <c r="N1046" s="11">
        <v>0</v>
      </c>
      <c r="O1046" s="4"/>
      <c r="P1046" s="4"/>
      <c r="Q1046" s="11">
        <v>0</v>
      </c>
      <c r="R1046" s="4"/>
      <c r="S1046" s="12"/>
    </row>
    <row r="1047" spans="1:19" x14ac:dyDescent="0.25">
      <c r="A1047" s="9" t="s">
        <v>359</v>
      </c>
      <c r="B1047" s="9" t="s">
        <v>359</v>
      </c>
      <c r="C1047" s="4">
        <v>201004544</v>
      </c>
      <c r="D1047" s="4" t="s">
        <v>1912</v>
      </c>
      <c r="E1047" s="4" t="str">
        <f>"092182010"</f>
        <v>092182010</v>
      </c>
      <c r="F1047" s="10">
        <v>40373</v>
      </c>
      <c r="G1047" s="11">
        <v>300000</v>
      </c>
      <c r="H1047" s="11">
        <v>300000</v>
      </c>
      <c r="I1047" s="4" t="s">
        <v>687</v>
      </c>
      <c r="J1047" s="4" t="s">
        <v>688</v>
      </c>
      <c r="K1047" s="11">
        <v>0</v>
      </c>
      <c r="L1047" s="4"/>
      <c r="M1047" s="4"/>
      <c r="N1047" s="11">
        <v>0</v>
      </c>
      <c r="O1047" s="4"/>
      <c r="P1047" s="4"/>
      <c r="Q1047" s="11">
        <v>0</v>
      </c>
      <c r="R1047" s="4"/>
      <c r="S1047" s="12"/>
    </row>
    <row r="1048" spans="1:19" x14ac:dyDescent="0.25">
      <c r="A1048" s="9" t="s">
        <v>359</v>
      </c>
      <c r="B1048" s="9" t="s">
        <v>359</v>
      </c>
      <c r="C1048" s="4">
        <v>201004545</v>
      </c>
      <c r="D1048" s="4"/>
      <c r="E1048" s="4" t="str">
        <f>"092082010"</f>
        <v>092082010</v>
      </c>
      <c r="F1048" s="10">
        <v>40373</v>
      </c>
      <c r="G1048" s="11">
        <v>8698.51</v>
      </c>
      <c r="H1048" s="11">
        <v>8698.51</v>
      </c>
      <c r="I1048" s="4" t="s">
        <v>366</v>
      </c>
      <c r="J1048" s="4" t="s">
        <v>367</v>
      </c>
      <c r="K1048" s="11">
        <v>0</v>
      </c>
      <c r="L1048" s="4"/>
      <c r="M1048" s="4"/>
      <c r="N1048" s="11">
        <v>0</v>
      </c>
      <c r="O1048" s="4"/>
      <c r="P1048" s="4"/>
      <c r="Q1048" s="11">
        <v>0</v>
      </c>
      <c r="R1048" s="4"/>
      <c r="S1048" s="12"/>
    </row>
    <row r="1049" spans="1:19" x14ac:dyDescent="0.25">
      <c r="A1049" s="9" t="s">
        <v>359</v>
      </c>
      <c r="B1049" s="9" t="s">
        <v>359</v>
      </c>
      <c r="C1049" s="4">
        <v>201004548</v>
      </c>
      <c r="D1049" s="4" t="s">
        <v>1913</v>
      </c>
      <c r="E1049" s="4" t="str">
        <f>"092102010"</f>
        <v>092102010</v>
      </c>
      <c r="F1049" s="10">
        <v>40373</v>
      </c>
      <c r="G1049" s="11">
        <v>16500</v>
      </c>
      <c r="H1049" s="11">
        <v>16500</v>
      </c>
      <c r="I1049" s="4" t="s">
        <v>366</v>
      </c>
      <c r="J1049" s="4" t="s">
        <v>367</v>
      </c>
      <c r="K1049" s="11">
        <v>0</v>
      </c>
      <c r="L1049" s="4"/>
      <c r="M1049" s="4"/>
      <c r="N1049" s="11">
        <v>0</v>
      </c>
      <c r="O1049" s="4"/>
      <c r="P1049" s="4"/>
      <c r="Q1049" s="11">
        <v>0</v>
      </c>
      <c r="R1049" s="4"/>
      <c r="S1049" s="12"/>
    </row>
    <row r="1050" spans="1:19" x14ac:dyDescent="0.25">
      <c r="A1050" s="9" t="s">
        <v>359</v>
      </c>
      <c r="B1050" s="9" t="s">
        <v>359</v>
      </c>
      <c r="C1050" s="4">
        <v>201004559</v>
      </c>
      <c r="D1050" s="4"/>
      <c r="E1050" s="4" t="str">
        <f>"092062010"</f>
        <v>092062010</v>
      </c>
      <c r="F1050" s="10">
        <v>40373</v>
      </c>
      <c r="G1050" s="11">
        <v>5794.93</v>
      </c>
      <c r="H1050" s="11">
        <v>5794.93</v>
      </c>
      <c r="I1050" s="4" t="s">
        <v>366</v>
      </c>
      <c r="J1050" s="4" t="s">
        <v>367</v>
      </c>
      <c r="K1050" s="11">
        <v>0</v>
      </c>
      <c r="L1050" s="4"/>
      <c r="M1050" s="4"/>
      <c r="N1050" s="11">
        <v>0</v>
      </c>
      <c r="O1050" s="4"/>
      <c r="P1050" s="4"/>
      <c r="Q1050" s="11">
        <v>0</v>
      </c>
      <c r="R1050" s="4"/>
      <c r="S1050" s="12"/>
    </row>
    <row r="1051" spans="1:19" x14ac:dyDescent="0.25">
      <c r="A1051" s="9" t="s">
        <v>359</v>
      </c>
      <c r="B1051" s="9" t="s">
        <v>359</v>
      </c>
      <c r="C1051" s="4">
        <v>201004563</v>
      </c>
      <c r="D1051" s="4"/>
      <c r="E1051" s="4" t="str">
        <f>"093162010"</f>
        <v>093162010</v>
      </c>
      <c r="F1051" s="10">
        <v>40375</v>
      </c>
      <c r="G1051" s="11">
        <v>3694.99</v>
      </c>
      <c r="H1051" s="11">
        <v>3694.99</v>
      </c>
      <c r="I1051" s="4" t="s">
        <v>366</v>
      </c>
      <c r="J1051" s="4" t="s">
        <v>367</v>
      </c>
      <c r="K1051" s="11">
        <v>0</v>
      </c>
      <c r="L1051" s="4"/>
      <c r="M1051" s="4"/>
      <c r="N1051" s="11">
        <v>0</v>
      </c>
      <c r="O1051" s="4"/>
      <c r="P1051" s="4"/>
      <c r="Q1051" s="11">
        <v>0</v>
      </c>
      <c r="R1051" s="4"/>
      <c r="S1051" s="12"/>
    </row>
    <row r="1052" spans="1:19" x14ac:dyDescent="0.25">
      <c r="A1052" s="9" t="s">
        <v>359</v>
      </c>
      <c r="B1052" s="9" t="s">
        <v>359</v>
      </c>
      <c r="C1052" s="4">
        <v>201004578</v>
      </c>
      <c r="D1052" s="4" t="s">
        <v>1914</v>
      </c>
      <c r="E1052" s="4" t="str">
        <f>"094262010"</f>
        <v>094262010</v>
      </c>
      <c r="F1052" s="10">
        <v>40396</v>
      </c>
      <c r="G1052" s="11">
        <v>17000</v>
      </c>
      <c r="H1052" s="11">
        <v>17000</v>
      </c>
      <c r="I1052" s="4" t="s">
        <v>931</v>
      </c>
      <c r="J1052" s="4" t="s">
        <v>932</v>
      </c>
      <c r="K1052" s="11">
        <v>0</v>
      </c>
      <c r="L1052" s="4"/>
      <c r="M1052" s="4"/>
      <c r="N1052" s="11">
        <v>0</v>
      </c>
      <c r="O1052" s="4"/>
      <c r="P1052" s="4"/>
      <c r="Q1052" s="11">
        <v>0</v>
      </c>
      <c r="R1052" s="4"/>
      <c r="S1052" s="12"/>
    </row>
    <row r="1053" spans="1:19" x14ac:dyDescent="0.25">
      <c r="A1053" s="9" t="s">
        <v>359</v>
      </c>
      <c r="B1053" s="9" t="s">
        <v>359</v>
      </c>
      <c r="C1053" s="4">
        <v>201004593</v>
      </c>
      <c r="D1053" s="4"/>
      <c r="E1053" s="4" t="str">
        <f>"093842010"</f>
        <v>093842010</v>
      </c>
      <c r="F1053" s="10">
        <v>40375</v>
      </c>
      <c r="G1053" s="11">
        <v>4496.8599999999997</v>
      </c>
      <c r="H1053" s="11">
        <v>4496.8599999999997</v>
      </c>
      <c r="I1053" s="4" t="s">
        <v>366</v>
      </c>
      <c r="J1053" s="4" t="s">
        <v>367</v>
      </c>
      <c r="K1053" s="11">
        <v>0</v>
      </c>
      <c r="L1053" s="4"/>
      <c r="M1053" s="4"/>
      <c r="N1053" s="11">
        <v>0</v>
      </c>
      <c r="O1053" s="4"/>
      <c r="P1053" s="4"/>
      <c r="Q1053" s="11">
        <v>0</v>
      </c>
      <c r="R1053" s="4"/>
      <c r="S1053" s="12"/>
    </row>
    <row r="1054" spans="1:19" x14ac:dyDescent="0.25">
      <c r="A1054" s="9" t="s">
        <v>359</v>
      </c>
      <c r="B1054" s="9" t="s">
        <v>359</v>
      </c>
      <c r="C1054" s="4">
        <v>201004670</v>
      </c>
      <c r="D1054" s="4" t="s">
        <v>1915</v>
      </c>
      <c r="E1054" s="4" t="str">
        <f>"093682010"</f>
        <v>093682010</v>
      </c>
      <c r="F1054" s="10">
        <v>40375</v>
      </c>
      <c r="G1054" s="11">
        <v>27944.04</v>
      </c>
      <c r="H1054" s="11">
        <v>27944.04</v>
      </c>
      <c r="I1054" s="4" t="s">
        <v>366</v>
      </c>
      <c r="J1054" s="4" t="s">
        <v>367</v>
      </c>
      <c r="K1054" s="11">
        <v>0</v>
      </c>
      <c r="L1054" s="4"/>
      <c r="M1054" s="4"/>
      <c r="N1054" s="11">
        <v>0</v>
      </c>
      <c r="O1054" s="4"/>
      <c r="P1054" s="4"/>
      <c r="Q1054" s="11">
        <v>0</v>
      </c>
      <c r="R1054" s="4"/>
      <c r="S1054" s="12"/>
    </row>
    <row r="1055" spans="1:19" x14ac:dyDescent="0.25">
      <c r="A1055" s="9" t="s">
        <v>359</v>
      </c>
      <c r="B1055" s="9" t="s">
        <v>359</v>
      </c>
      <c r="C1055" s="4">
        <v>201004678</v>
      </c>
      <c r="D1055" s="4"/>
      <c r="E1055" s="4" t="str">
        <f>"094322010"</f>
        <v>094322010</v>
      </c>
      <c r="F1055" s="10">
        <v>40380</v>
      </c>
      <c r="G1055" s="11">
        <v>5981.42</v>
      </c>
      <c r="H1055" s="11">
        <v>5981.42</v>
      </c>
      <c r="I1055" s="4" t="s">
        <v>366</v>
      </c>
      <c r="J1055" s="4" t="s">
        <v>367</v>
      </c>
      <c r="K1055" s="11">
        <v>0</v>
      </c>
      <c r="L1055" s="4"/>
      <c r="M1055" s="4"/>
      <c r="N1055" s="11">
        <v>0</v>
      </c>
      <c r="O1055" s="4"/>
      <c r="P1055" s="4"/>
      <c r="Q1055" s="11">
        <v>0</v>
      </c>
      <c r="R1055" s="4"/>
      <c r="S1055" s="12"/>
    </row>
    <row r="1056" spans="1:19" x14ac:dyDescent="0.25">
      <c r="A1056" s="9" t="s">
        <v>359</v>
      </c>
      <c r="B1056" s="9" t="s">
        <v>359</v>
      </c>
      <c r="C1056" s="4">
        <v>201004682</v>
      </c>
      <c r="D1056" s="4"/>
      <c r="E1056" s="4" t="str">
        <f>"094402010"</f>
        <v>094402010</v>
      </c>
      <c r="F1056" s="10">
        <v>40380</v>
      </c>
      <c r="G1056" s="11">
        <v>7611.5</v>
      </c>
      <c r="H1056" s="11">
        <v>7611.5</v>
      </c>
      <c r="I1056" s="4" t="s">
        <v>366</v>
      </c>
      <c r="J1056" s="4" t="s">
        <v>367</v>
      </c>
      <c r="K1056" s="11">
        <v>0</v>
      </c>
      <c r="L1056" s="4"/>
      <c r="M1056" s="4"/>
      <c r="N1056" s="11">
        <v>0</v>
      </c>
      <c r="O1056" s="4"/>
      <c r="P1056" s="4"/>
      <c r="Q1056" s="11">
        <v>0</v>
      </c>
      <c r="R1056" s="4"/>
      <c r="S1056" s="12"/>
    </row>
    <row r="1057" spans="1:19" x14ac:dyDescent="0.25">
      <c r="A1057" s="9" t="s">
        <v>359</v>
      </c>
      <c r="B1057" s="9" t="s">
        <v>359</v>
      </c>
      <c r="C1057" s="4">
        <v>201004685</v>
      </c>
      <c r="D1057" s="4"/>
      <c r="E1057" s="4" t="str">
        <f>"093782010"</f>
        <v>093782010</v>
      </c>
      <c r="F1057" s="10">
        <v>40375</v>
      </c>
      <c r="G1057" s="11">
        <v>2766.26</v>
      </c>
      <c r="H1057" s="11">
        <v>2766.26</v>
      </c>
      <c r="I1057" s="4" t="s">
        <v>366</v>
      </c>
      <c r="J1057" s="4" t="s">
        <v>367</v>
      </c>
      <c r="K1057" s="11">
        <v>0</v>
      </c>
      <c r="L1057" s="4"/>
      <c r="M1057" s="4"/>
      <c r="N1057" s="11">
        <v>0</v>
      </c>
      <c r="O1057" s="4"/>
      <c r="P1057" s="4"/>
      <c r="Q1057" s="11">
        <v>0</v>
      </c>
      <c r="R1057" s="4"/>
      <c r="S1057" s="12"/>
    </row>
    <row r="1058" spans="1:19" x14ac:dyDescent="0.25">
      <c r="A1058" s="9" t="s">
        <v>359</v>
      </c>
      <c r="B1058" s="9" t="s">
        <v>359</v>
      </c>
      <c r="C1058" s="4">
        <v>201004708</v>
      </c>
      <c r="D1058" s="4"/>
      <c r="E1058" s="4" t="str">
        <f>"094482010"</f>
        <v>094482010</v>
      </c>
      <c r="F1058" s="10">
        <v>40380</v>
      </c>
      <c r="G1058" s="11">
        <v>3967.57</v>
      </c>
      <c r="H1058" s="11">
        <v>3967.57</v>
      </c>
      <c r="I1058" s="4" t="s">
        <v>366</v>
      </c>
      <c r="J1058" s="4" t="s">
        <v>367</v>
      </c>
      <c r="K1058" s="11">
        <v>0</v>
      </c>
      <c r="L1058" s="4"/>
      <c r="M1058" s="4"/>
      <c r="N1058" s="11">
        <v>0</v>
      </c>
      <c r="O1058" s="4"/>
      <c r="P1058" s="4"/>
      <c r="Q1058" s="11">
        <v>0</v>
      </c>
      <c r="R1058" s="4"/>
      <c r="S1058" s="12"/>
    </row>
    <row r="1059" spans="1:19" x14ac:dyDescent="0.25">
      <c r="A1059" s="9" t="s">
        <v>359</v>
      </c>
      <c r="B1059" s="9" t="s">
        <v>359</v>
      </c>
      <c r="C1059" s="4">
        <v>201004719</v>
      </c>
      <c r="D1059" s="4"/>
      <c r="E1059" s="4" t="str">
        <f>"095102010"</f>
        <v>095102010</v>
      </c>
      <c r="F1059" s="10">
        <v>40382</v>
      </c>
      <c r="G1059" s="11">
        <v>9500</v>
      </c>
      <c r="H1059" s="11">
        <v>9500</v>
      </c>
      <c r="I1059" s="4" t="s">
        <v>366</v>
      </c>
      <c r="J1059" s="4" t="s">
        <v>367</v>
      </c>
      <c r="K1059" s="11">
        <v>0</v>
      </c>
      <c r="L1059" s="4"/>
      <c r="M1059" s="4"/>
      <c r="N1059" s="11">
        <v>0</v>
      </c>
      <c r="O1059" s="4"/>
      <c r="P1059" s="4"/>
      <c r="Q1059" s="11">
        <v>0</v>
      </c>
      <c r="R1059" s="4"/>
      <c r="S1059" s="12"/>
    </row>
    <row r="1060" spans="1:19" x14ac:dyDescent="0.25">
      <c r="A1060" s="9" t="s">
        <v>359</v>
      </c>
      <c r="B1060" s="9" t="s">
        <v>359</v>
      </c>
      <c r="C1060" s="4">
        <v>201004721</v>
      </c>
      <c r="D1060" s="4"/>
      <c r="E1060" s="4" t="str">
        <f>"095712010"</f>
        <v>095712010</v>
      </c>
      <c r="F1060" s="10">
        <v>40387</v>
      </c>
      <c r="G1060" s="11">
        <v>225000</v>
      </c>
      <c r="H1060" s="11">
        <v>225000</v>
      </c>
      <c r="I1060" s="4" t="s">
        <v>687</v>
      </c>
      <c r="J1060" s="4" t="s">
        <v>688</v>
      </c>
      <c r="K1060" s="11">
        <v>0</v>
      </c>
      <c r="L1060" s="4"/>
      <c r="M1060" s="4"/>
      <c r="N1060" s="11">
        <v>0</v>
      </c>
      <c r="O1060" s="4"/>
      <c r="P1060" s="4"/>
      <c r="Q1060" s="11">
        <v>0</v>
      </c>
      <c r="R1060" s="4"/>
      <c r="S1060" s="12"/>
    </row>
    <row r="1061" spans="1:19" x14ac:dyDescent="0.25">
      <c r="A1061" s="9" t="s">
        <v>359</v>
      </c>
      <c r="B1061" s="9" t="s">
        <v>359</v>
      </c>
      <c r="C1061" s="4">
        <v>201004732</v>
      </c>
      <c r="D1061" s="4" t="s">
        <v>1916</v>
      </c>
      <c r="E1061" s="4" t="str">
        <f>"094742010"</f>
        <v>094742010</v>
      </c>
      <c r="F1061" s="10">
        <v>40381</v>
      </c>
      <c r="G1061" s="11">
        <v>12000</v>
      </c>
      <c r="H1061" s="11">
        <v>12000</v>
      </c>
      <c r="I1061" s="4" t="s">
        <v>366</v>
      </c>
      <c r="J1061" s="4" t="s">
        <v>367</v>
      </c>
      <c r="K1061" s="11">
        <v>0</v>
      </c>
      <c r="L1061" s="4"/>
      <c r="M1061" s="4"/>
      <c r="N1061" s="11">
        <v>0</v>
      </c>
      <c r="O1061" s="4"/>
      <c r="P1061" s="4"/>
      <c r="Q1061" s="11">
        <v>0</v>
      </c>
      <c r="R1061" s="4"/>
      <c r="S1061" s="12"/>
    </row>
    <row r="1062" spans="1:19" x14ac:dyDescent="0.25">
      <c r="A1062" s="9" t="s">
        <v>359</v>
      </c>
      <c r="B1062" s="9" t="s">
        <v>359</v>
      </c>
      <c r="C1062" s="4">
        <v>201004753</v>
      </c>
      <c r="D1062" s="4"/>
      <c r="E1062" s="4" t="str">
        <f>"095122010"</f>
        <v>095122010</v>
      </c>
      <c r="F1062" s="10">
        <v>40382</v>
      </c>
      <c r="G1062" s="11">
        <v>4866.46</v>
      </c>
      <c r="H1062" s="11">
        <v>4866.46</v>
      </c>
      <c r="I1062" s="4" t="s">
        <v>366</v>
      </c>
      <c r="J1062" s="4" t="s">
        <v>367</v>
      </c>
      <c r="K1062" s="11">
        <v>0</v>
      </c>
      <c r="L1062" s="4"/>
      <c r="M1062" s="4"/>
      <c r="N1062" s="11">
        <v>0</v>
      </c>
      <c r="O1062" s="4"/>
      <c r="P1062" s="4"/>
      <c r="Q1062" s="11">
        <v>0</v>
      </c>
      <c r="R1062" s="4"/>
      <c r="S1062" s="12"/>
    </row>
    <row r="1063" spans="1:19" x14ac:dyDescent="0.25">
      <c r="A1063" s="9" t="s">
        <v>359</v>
      </c>
      <c r="B1063" s="9" t="s">
        <v>359</v>
      </c>
      <c r="C1063" s="4">
        <v>201004759</v>
      </c>
      <c r="D1063" s="4"/>
      <c r="E1063" s="4" t="str">
        <f>"097812010"</f>
        <v>097812010</v>
      </c>
      <c r="F1063" s="10">
        <v>40394</v>
      </c>
      <c r="G1063" s="11">
        <v>14000</v>
      </c>
      <c r="H1063" s="11">
        <v>14000</v>
      </c>
      <c r="I1063" s="4" t="s">
        <v>366</v>
      </c>
      <c r="J1063" s="4" t="s">
        <v>367</v>
      </c>
      <c r="K1063" s="11">
        <v>0</v>
      </c>
      <c r="L1063" s="4"/>
      <c r="M1063" s="4"/>
      <c r="N1063" s="11">
        <v>0</v>
      </c>
      <c r="O1063" s="4"/>
      <c r="P1063" s="4"/>
      <c r="Q1063" s="11">
        <v>0</v>
      </c>
      <c r="R1063" s="4"/>
      <c r="S1063" s="12"/>
    </row>
    <row r="1064" spans="1:19" x14ac:dyDescent="0.25">
      <c r="A1064" s="9" t="s">
        <v>359</v>
      </c>
      <c r="B1064" s="9" t="s">
        <v>359</v>
      </c>
      <c r="C1064" s="4">
        <v>201004760</v>
      </c>
      <c r="D1064" s="4"/>
      <c r="E1064" s="4" t="str">
        <f>"095202010"</f>
        <v>095202010</v>
      </c>
      <c r="F1064" s="10">
        <v>40382</v>
      </c>
      <c r="G1064" s="11">
        <v>17119.29</v>
      </c>
      <c r="H1064" s="11">
        <v>17119.29</v>
      </c>
      <c r="I1064" s="4" t="s">
        <v>366</v>
      </c>
      <c r="J1064" s="4" t="s">
        <v>367</v>
      </c>
      <c r="K1064" s="11">
        <v>0</v>
      </c>
      <c r="L1064" s="4"/>
      <c r="M1064" s="4"/>
      <c r="N1064" s="11">
        <v>0</v>
      </c>
      <c r="O1064" s="4"/>
      <c r="P1064" s="4"/>
      <c r="Q1064" s="11">
        <v>0</v>
      </c>
      <c r="R1064" s="4"/>
      <c r="S1064" s="12"/>
    </row>
    <row r="1065" spans="1:19" x14ac:dyDescent="0.25">
      <c r="A1065" s="9" t="s">
        <v>359</v>
      </c>
      <c r="B1065" s="9" t="s">
        <v>359</v>
      </c>
      <c r="C1065" s="4">
        <v>201004777</v>
      </c>
      <c r="D1065" s="4"/>
      <c r="E1065" s="4" t="str">
        <f>"096472010"</f>
        <v>096472010</v>
      </c>
      <c r="F1065" s="10">
        <v>40387</v>
      </c>
      <c r="G1065" s="11">
        <v>5815.53</v>
      </c>
      <c r="H1065" s="11">
        <v>5815.53</v>
      </c>
      <c r="I1065" s="4" t="s">
        <v>366</v>
      </c>
      <c r="J1065" s="4" t="s">
        <v>367</v>
      </c>
      <c r="K1065" s="11">
        <v>0</v>
      </c>
      <c r="L1065" s="4"/>
      <c r="M1065" s="4"/>
      <c r="N1065" s="11">
        <v>0</v>
      </c>
      <c r="O1065" s="4"/>
      <c r="P1065" s="4"/>
      <c r="Q1065" s="11">
        <v>0</v>
      </c>
      <c r="R1065" s="4"/>
      <c r="S1065" s="12"/>
    </row>
    <row r="1066" spans="1:19" x14ac:dyDescent="0.25">
      <c r="A1066" s="9" t="s">
        <v>359</v>
      </c>
      <c r="B1066" s="9" t="s">
        <v>359</v>
      </c>
      <c r="C1066" s="4">
        <v>201004786</v>
      </c>
      <c r="D1066" s="4"/>
      <c r="E1066" s="4" t="str">
        <f>"096452010"</f>
        <v>096452010</v>
      </c>
      <c r="F1066" s="10">
        <v>40387</v>
      </c>
      <c r="G1066" s="11">
        <v>3760.78</v>
      </c>
      <c r="H1066" s="11">
        <v>3760.78</v>
      </c>
      <c r="I1066" s="4" t="s">
        <v>366</v>
      </c>
      <c r="J1066" s="4" t="s">
        <v>367</v>
      </c>
      <c r="K1066" s="11">
        <v>0</v>
      </c>
      <c r="L1066" s="4"/>
      <c r="M1066" s="4"/>
      <c r="N1066" s="11">
        <v>0</v>
      </c>
      <c r="O1066" s="4"/>
      <c r="P1066" s="4"/>
      <c r="Q1066" s="11">
        <v>0</v>
      </c>
      <c r="R1066" s="4"/>
      <c r="S1066" s="12"/>
    </row>
    <row r="1067" spans="1:19" x14ac:dyDescent="0.25">
      <c r="A1067" s="9" t="s">
        <v>359</v>
      </c>
      <c r="B1067" s="9" t="s">
        <v>359</v>
      </c>
      <c r="C1067" s="4">
        <v>201004830</v>
      </c>
      <c r="D1067" s="4" t="s">
        <v>1917</v>
      </c>
      <c r="E1067" s="4" t="str">
        <f>"108132010"</f>
        <v>108132010</v>
      </c>
      <c r="F1067" s="10">
        <v>40424</v>
      </c>
      <c r="G1067" s="11">
        <v>5000</v>
      </c>
      <c r="H1067" s="11">
        <v>5000</v>
      </c>
      <c r="I1067" s="4" t="s">
        <v>366</v>
      </c>
      <c r="J1067" s="4" t="s">
        <v>367</v>
      </c>
      <c r="K1067" s="11">
        <v>0</v>
      </c>
      <c r="L1067" s="4"/>
      <c r="M1067" s="4"/>
      <c r="N1067" s="11">
        <v>0</v>
      </c>
      <c r="O1067" s="4"/>
      <c r="P1067" s="4"/>
      <c r="Q1067" s="11">
        <v>0</v>
      </c>
      <c r="R1067" s="4"/>
      <c r="S1067" s="12"/>
    </row>
    <row r="1068" spans="1:19" x14ac:dyDescent="0.25">
      <c r="A1068" s="9" t="s">
        <v>359</v>
      </c>
      <c r="B1068" s="9" t="s">
        <v>359</v>
      </c>
      <c r="C1068" s="4">
        <v>201004831</v>
      </c>
      <c r="D1068" s="4"/>
      <c r="E1068" s="4" t="str">
        <f>"097712010"</f>
        <v>097712010</v>
      </c>
      <c r="F1068" s="10">
        <v>40394</v>
      </c>
      <c r="G1068" s="11">
        <v>9225.5400000000009</v>
      </c>
      <c r="H1068" s="11">
        <v>9225.5400000000009</v>
      </c>
      <c r="I1068" s="4" t="s">
        <v>366</v>
      </c>
      <c r="J1068" s="4" t="s">
        <v>367</v>
      </c>
      <c r="K1068" s="11">
        <v>0</v>
      </c>
      <c r="L1068" s="4"/>
      <c r="M1068" s="4"/>
      <c r="N1068" s="11">
        <v>0</v>
      </c>
      <c r="O1068" s="4"/>
      <c r="P1068" s="4"/>
      <c r="Q1068" s="11">
        <v>0</v>
      </c>
      <c r="R1068" s="4"/>
      <c r="S1068" s="12"/>
    </row>
    <row r="1069" spans="1:19" x14ac:dyDescent="0.25">
      <c r="A1069" s="9" t="s">
        <v>359</v>
      </c>
      <c r="B1069" s="9" t="s">
        <v>359</v>
      </c>
      <c r="C1069" s="4">
        <v>201004855</v>
      </c>
      <c r="D1069" s="4" t="s">
        <v>1917</v>
      </c>
      <c r="E1069" s="4" t="str">
        <f>"108122010"</f>
        <v>108122010</v>
      </c>
      <c r="F1069" s="10">
        <v>40424</v>
      </c>
      <c r="G1069" s="11">
        <v>6000</v>
      </c>
      <c r="H1069" s="11">
        <v>6000</v>
      </c>
      <c r="I1069" s="4" t="s">
        <v>366</v>
      </c>
      <c r="J1069" s="4" t="s">
        <v>367</v>
      </c>
      <c r="K1069" s="11">
        <v>0</v>
      </c>
      <c r="L1069" s="4"/>
      <c r="M1069" s="4"/>
      <c r="N1069" s="11">
        <v>0</v>
      </c>
      <c r="O1069" s="4"/>
      <c r="P1069" s="4"/>
      <c r="Q1069" s="11">
        <v>0</v>
      </c>
      <c r="R1069" s="4"/>
      <c r="S1069" s="12"/>
    </row>
    <row r="1070" spans="1:19" x14ac:dyDescent="0.25">
      <c r="A1070" s="9" t="s">
        <v>359</v>
      </c>
      <c r="B1070" s="9" t="s">
        <v>359</v>
      </c>
      <c r="C1070" s="4">
        <v>201004857</v>
      </c>
      <c r="D1070" s="4" t="s">
        <v>1917</v>
      </c>
      <c r="E1070" s="4" t="str">
        <f>"108112010"</f>
        <v>108112010</v>
      </c>
      <c r="F1070" s="10">
        <v>40424</v>
      </c>
      <c r="G1070" s="11">
        <v>11100</v>
      </c>
      <c r="H1070" s="11">
        <v>11100</v>
      </c>
      <c r="I1070" s="4" t="s">
        <v>366</v>
      </c>
      <c r="J1070" s="4" t="s">
        <v>367</v>
      </c>
      <c r="K1070" s="11">
        <v>0</v>
      </c>
      <c r="L1070" s="4"/>
      <c r="M1070" s="4"/>
      <c r="N1070" s="11">
        <v>0</v>
      </c>
      <c r="O1070" s="4"/>
      <c r="P1070" s="4"/>
      <c r="Q1070" s="11">
        <v>0</v>
      </c>
      <c r="R1070" s="4"/>
      <c r="S1070" s="12"/>
    </row>
    <row r="1071" spans="1:19" x14ac:dyDescent="0.25">
      <c r="A1071" s="9" t="s">
        <v>359</v>
      </c>
      <c r="B1071" s="9" t="s">
        <v>359</v>
      </c>
      <c r="C1071" s="4">
        <v>201004875</v>
      </c>
      <c r="D1071" s="4"/>
      <c r="E1071" s="4" t="str">
        <f>"103532010"</f>
        <v>103532010</v>
      </c>
      <c r="F1071" s="10">
        <v>40410</v>
      </c>
      <c r="G1071" s="11">
        <v>10847.84</v>
      </c>
      <c r="H1071" s="11">
        <v>10847.84</v>
      </c>
      <c r="I1071" s="4" t="s">
        <v>366</v>
      </c>
      <c r="J1071" s="4" t="s">
        <v>367</v>
      </c>
      <c r="K1071" s="11">
        <v>0</v>
      </c>
      <c r="L1071" s="4"/>
      <c r="M1071" s="4"/>
      <c r="N1071" s="11">
        <v>0</v>
      </c>
      <c r="O1071" s="4"/>
      <c r="P1071" s="4"/>
      <c r="Q1071" s="11">
        <v>0</v>
      </c>
      <c r="R1071" s="4"/>
      <c r="S1071" s="12"/>
    </row>
    <row r="1072" spans="1:19" x14ac:dyDescent="0.25">
      <c r="A1072" s="9" t="s">
        <v>359</v>
      </c>
      <c r="B1072" s="9" t="s">
        <v>359</v>
      </c>
      <c r="C1072" s="4">
        <v>201004877</v>
      </c>
      <c r="D1072" s="4"/>
      <c r="E1072" s="4" t="str">
        <f>"097952010"</f>
        <v>097952010</v>
      </c>
      <c r="F1072" s="10">
        <v>40393</v>
      </c>
      <c r="G1072" s="11">
        <v>8000</v>
      </c>
      <c r="H1072" s="11">
        <v>8000</v>
      </c>
      <c r="I1072" s="4" t="s">
        <v>366</v>
      </c>
      <c r="J1072" s="4" t="s">
        <v>367</v>
      </c>
      <c r="K1072" s="11">
        <v>0</v>
      </c>
      <c r="L1072" s="4"/>
      <c r="M1072" s="4"/>
      <c r="N1072" s="11">
        <v>0</v>
      </c>
      <c r="O1072" s="4"/>
      <c r="P1072" s="4"/>
      <c r="Q1072" s="11">
        <v>0</v>
      </c>
      <c r="R1072" s="4"/>
      <c r="S1072" s="12"/>
    </row>
    <row r="1073" spans="1:19" x14ac:dyDescent="0.25">
      <c r="A1073" s="9" t="s">
        <v>359</v>
      </c>
      <c r="B1073" s="9" t="s">
        <v>359</v>
      </c>
      <c r="C1073" s="4">
        <v>201004897</v>
      </c>
      <c r="D1073" s="4" t="s">
        <v>1918</v>
      </c>
      <c r="E1073" s="4" t="str">
        <f>"097892010"</f>
        <v>097892010</v>
      </c>
      <c r="F1073" s="10">
        <v>40394</v>
      </c>
      <c r="G1073" s="11">
        <v>6000</v>
      </c>
      <c r="H1073" s="11">
        <v>6000</v>
      </c>
      <c r="I1073" s="4" t="s">
        <v>366</v>
      </c>
      <c r="J1073" s="4" t="s">
        <v>367</v>
      </c>
      <c r="K1073" s="11">
        <v>0</v>
      </c>
      <c r="L1073" s="4"/>
      <c r="M1073" s="4"/>
      <c r="N1073" s="11">
        <v>0</v>
      </c>
      <c r="O1073" s="4"/>
      <c r="P1073" s="4"/>
      <c r="Q1073" s="11">
        <v>0</v>
      </c>
      <c r="R1073" s="4"/>
      <c r="S1073" s="12"/>
    </row>
    <row r="1074" spans="1:19" x14ac:dyDescent="0.25">
      <c r="A1074" s="9" t="s">
        <v>359</v>
      </c>
      <c r="B1074" s="9" t="s">
        <v>359</v>
      </c>
      <c r="C1074" s="4">
        <v>201004922</v>
      </c>
      <c r="D1074" s="4"/>
      <c r="E1074" s="4" t="str">
        <f>"099022010"</f>
        <v>099022010</v>
      </c>
      <c r="F1074" s="10">
        <v>40396</v>
      </c>
      <c r="G1074" s="11">
        <v>10554.2</v>
      </c>
      <c r="H1074" s="11">
        <v>10554.2</v>
      </c>
      <c r="I1074" s="4" t="s">
        <v>366</v>
      </c>
      <c r="J1074" s="4" t="s">
        <v>367</v>
      </c>
      <c r="K1074" s="11">
        <v>0</v>
      </c>
      <c r="L1074" s="4"/>
      <c r="M1074" s="4"/>
      <c r="N1074" s="11">
        <v>0</v>
      </c>
      <c r="O1074" s="4"/>
      <c r="P1074" s="4"/>
      <c r="Q1074" s="11">
        <v>0</v>
      </c>
      <c r="R1074" s="4"/>
      <c r="S1074" s="12"/>
    </row>
    <row r="1075" spans="1:19" x14ac:dyDescent="0.25">
      <c r="A1075" s="9" t="s">
        <v>359</v>
      </c>
      <c r="B1075" s="9" t="s">
        <v>359</v>
      </c>
      <c r="C1075" s="4">
        <v>201004955</v>
      </c>
      <c r="D1075" s="4" t="s">
        <v>1919</v>
      </c>
      <c r="E1075" s="4" t="str">
        <f>"098902010"</f>
        <v>098902010</v>
      </c>
      <c r="F1075" s="10">
        <v>40396</v>
      </c>
      <c r="G1075" s="11">
        <v>7000</v>
      </c>
      <c r="H1075" s="11">
        <v>7000</v>
      </c>
      <c r="I1075" s="4" t="s">
        <v>931</v>
      </c>
      <c r="J1075" s="4" t="s">
        <v>932</v>
      </c>
      <c r="K1075" s="11">
        <v>0</v>
      </c>
      <c r="L1075" s="4"/>
      <c r="M1075" s="4"/>
      <c r="N1075" s="11">
        <v>0</v>
      </c>
      <c r="O1075" s="4"/>
      <c r="P1075" s="4"/>
      <c r="Q1075" s="11">
        <v>0</v>
      </c>
      <c r="R1075" s="4"/>
      <c r="S1075" s="12"/>
    </row>
    <row r="1076" spans="1:19" x14ac:dyDescent="0.25">
      <c r="A1076" s="9" t="s">
        <v>359</v>
      </c>
      <c r="B1076" s="9" t="s">
        <v>359</v>
      </c>
      <c r="C1076" s="4">
        <v>201004956</v>
      </c>
      <c r="D1076" s="4"/>
      <c r="E1076" s="4" t="str">
        <f>"098922010"</f>
        <v>098922010</v>
      </c>
      <c r="F1076" s="10">
        <v>40396</v>
      </c>
      <c r="G1076" s="11">
        <v>10000</v>
      </c>
      <c r="H1076" s="11">
        <v>10000</v>
      </c>
      <c r="I1076" s="4" t="s">
        <v>366</v>
      </c>
      <c r="J1076" s="4" t="s">
        <v>367</v>
      </c>
      <c r="K1076" s="11">
        <v>0</v>
      </c>
      <c r="L1076" s="4"/>
      <c r="M1076" s="4"/>
      <c r="N1076" s="11">
        <v>0</v>
      </c>
      <c r="O1076" s="4"/>
      <c r="P1076" s="4"/>
      <c r="Q1076" s="11">
        <v>0</v>
      </c>
      <c r="R1076" s="4"/>
      <c r="S1076" s="12"/>
    </row>
    <row r="1077" spans="1:19" x14ac:dyDescent="0.25">
      <c r="A1077" s="9" t="s">
        <v>359</v>
      </c>
      <c r="B1077" s="9" t="s">
        <v>359</v>
      </c>
      <c r="C1077" s="4">
        <v>201005005</v>
      </c>
      <c r="D1077" s="4"/>
      <c r="E1077" s="4" t="str">
        <f>"100512010"</f>
        <v>100512010</v>
      </c>
      <c r="F1077" s="10">
        <v>40403</v>
      </c>
      <c r="G1077" s="11">
        <v>3387.27</v>
      </c>
      <c r="H1077" s="11">
        <v>3387.27</v>
      </c>
      <c r="I1077" s="4" t="s">
        <v>366</v>
      </c>
      <c r="J1077" s="4" t="s">
        <v>367</v>
      </c>
      <c r="K1077" s="11">
        <v>0</v>
      </c>
      <c r="L1077" s="4"/>
      <c r="M1077" s="4"/>
      <c r="N1077" s="11">
        <v>0</v>
      </c>
      <c r="O1077" s="4"/>
      <c r="P1077" s="4"/>
      <c r="Q1077" s="11">
        <v>0</v>
      </c>
      <c r="R1077" s="4"/>
      <c r="S1077" s="12"/>
    </row>
    <row r="1078" spans="1:19" x14ac:dyDescent="0.25">
      <c r="A1078" s="9" t="s">
        <v>359</v>
      </c>
      <c r="B1078" s="9" t="s">
        <v>359</v>
      </c>
      <c r="C1078" s="4">
        <v>201005033</v>
      </c>
      <c r="D1078" s="4"/>
      <c r="E1078" s="4" t="str">
        <f>"101372010"</f>
        <v>101372010</v>
      </c>
      <c r="F1078" s="10">
        <v>40408</v>
      </c>
      <c r="G1078" s="11">
        <v>11189.66</v>
      </c>
      <c r="H1078" s="11">
        <v>11189.66</v>
      </c>
      <c r="I1078" s="4" t="s">
        <v>366</v>
      </c>
      <c r="J1078" s="4" t="s">
        <v>367</v>
      </c>
      <c r="K1078" s="11">
        <v>0</v>
      </c>
      <c r="L1078" s="4"/>
      <c r="M1078" s="4"/>
      <c r="N1078" s="11">
        <v>0</v>
      </c>
      <c r="O1078" s="4"/>
      <c r="P1078" s="4"/>
      <c r="Q1078" s="11">
        <v>0</v>
      </c>
      <c r="R1078" s="4"/>
      <c r="S1078" s="12"/>
    </row>
    <row r="1079" spans="1:19" x14ac:dyDescent="0.25">
      <c r="A1079" s="9" t="s">
        <v>359</v>
      </c>
      <c r="B1079" s="9" t="s">
        <v>359</v>
      </c>
      <c r="C1079" s="4">
        <v>201005037</v>
      </c>
      <c r="D1079" s="4"/>
      <c r="E1079" s="4" t="str">
        <f>"101612010"</f>
        <v>101612010</v>
      </c>
      <c r="F1079" s="10">
        <v>40408</v>
      </c>
      <c r="G1079" s="11">
        <v>5807.9</v>
      </c>
      <c r="H1079" s="11">
        <v>5807.9</v>
      </c>
      <c r="I1079" s="4" t="s">
        <v>366</v>
      </c>
      <c r="J1079" s="4" t="s">
        <v>367</v>
      </c>
      <c r="K1079" s="11">
        <v>0</v>
      </c>
      <c r="L1079" s="4"/>
      <c r="M1079" s="4"/>
      <c r="N1079" s="11">
        <v>0</v>
      </c>
      <c r="O1079" s="4"/>
      <c r="P1079" s="4"/>
      <c r="Q1079" s="11">
        <v>0</v>
      </c>
      <c r="R1079" s="4"/>
      <c r="S1079" s="12"/>
    </row>
    <row r="1080" spans="1:19" x14ac:dyDescent="0.25">
      <c r="A1080" s="9" t="s">
        <v>359</v>
      </c>
      <c r="B1080" s="9" t="s">
        <v>359</v>
      </c>
      <c r="C1080" s="4">
        <v>201005049</v>
      </c>
      <c r="D1080" s="4"/>
      <c r="E1080" s="4" t="str">
        <f>"101012010"</f>
        <v>101012010</v>
      </c>
      <c r="F1080" s="10">
        <v>40407</v>
      </c>
      <c r="G1080" s="11">
        <v>3581.28</v>
      </c>
      <c r="H1080" s="11">
        <v>3581.28</v>
      </c>
      <c r="I1080" s="4" t="s">
        <v>366</v>
      </c>
      <c r="J1080" s="4" t="s">
        <v>367</v>
      </c>
      <c r="K1080" s="11">
        <v>0</v>
      </c>
      <c r="L1080" s="4"/>
      <c r="M1080" s="4"/>
      <c r="N1080" s="11">
        <v>0</v>
      </c>
      <c r="O1080" s="4"/>
      <c r="P1080" s="4"/>
      <c r="Q1080" s="11">
        <v>0</v>
      </c>
      <c r="R1080" s="4"/>
      <c r="S1080" s="12"/>
    </row>
    <row r="1081" spans="1:19" x14ac:dyDescent="0.25">
      <c r="A1081" s="9" t="s">
        <v>359</v>
      </c>
      <c r="B1081" s="9" t="s">
        <v>359</v>
      </c>
      <c r="C1081" s="4">
        <v>201005097</v>
      </c>
      <c r="D1081" s="4" t="s">
        <v>1920</v>
      </c>
      <c r="E1081" s="4" t="str">
        <f>"103732010"</f>
        <v>103732010</v>
      </c>
      <c r="F1081" s="10">
        <v>40410</v>
      </c>
      <c r="G1081" s="11">
        <v>8500</v>
      </c>
      <c r="H1081" s="11">
        <v>8500</v>
      </c>
      <c r="I1081" s="4" t="s">
        <v>366</v>
      </c>
      <c r="J1081" s="4" t="s">
        <v>367</v>
      </c>
      <c r="K1081" s="11">
        <v>0</v>
      </c>
      <c r="L1081" s="4"/>
      <c r="M1081" s="4"/>
      <c r="N1081" s="11">
        <v>0</v>
      </c>
      <c r="O1081" s="4"/>
      <c r="P1081" s="4"/>
      <c r="Q1081" s="11">
        <v>0</v>
      </c>
      <c r="R1081" s="4"/>
      <c r="S1081" s="12"/>
    </row>
    <row r="1082" spans="1:19" x14ac:dyDescent="0.25">
      <c r="A1082" s="9" t="s">
        <v>359</v>
      </c>
      <c r="B1082" s="9" t="s">
        <v>359</v>
      </c>
      <c r="C1082" s="4">
        <v>201005111</v>
      </c>
      <c r="D1082" s="4"/>
      <c r="E1082" s="4" t="str">
        <f>"104352010"</f>
        <v>104352010</v>
      </c>
      <c r="F1082" s="10">
        <v>40413</v>
      </c>
      <c r="G1082" s="11">
        <v>7047.58</v>
      </c>
      <c r="H1082" s="11">
        <v>7047.58</v>
      </c>
      <c r="I1082" s="4" t="s">
        <v>366</v>
      </c>
      <c r="J1082" s="4" t="s">
        <v>367</v>
      </c>
      <c r="K1082" s="11">
        <v>0</v>
      </c>
      <c r="L1082" s="4"/>
      <c r="M1082" s="4"/>
      <c r="N1082" s="11">
        <v>0</v>
      </c>
      <c r="O1082" s="4"/>
      <c r="P1082" s="4"/>
      <c r="Q1082" s="11">
        <v>0</v>
      </c>
      <c r="R1082" s="4"/>
      <c r="S1082" s="12"/>
    </row>
    <row r="1083" spans="1:19" x14ac:dyDescent="0.25">
      <c r="A1083" s="9" t="s">
        <v>359</v>
      </c>
      <c r="B1083" s="9" t="s">
        <v>359</v>
      </c>
      <c r="C1083" s="4">
        <v>201005134</v>
      </c>
      <c r="D1083" s="4"/>
      <c r="E1083" s="4" t="str">
        <f>"102672010"</f>
        <v>102672010</v>
      </c>
      <c r="F1083" s="10">
        <v>40409</v>
      </c>
      <c r="G1083" s="11">
        <v>5698.05</v>
      </c>
      <c r="H1083" s="11">
        <v>5698.05</v>
      </c>
      <c r="I1083" s="4" t="s">
        <v>366</v>
      </c>
      <c r="J1083" s="4" t="s">
        <v>367</v>
      </c>
      <c r="K1083" s="11">
        <v>0</v>
      </c>
      <c r="L1083" s="4"/>
      <c r="M1083" s="4"/>
      <c r="N1083" s="11">
        <v>0</v>
      </c>
      <c r="O1083" s="4"/>
      <c r="P1083" s="4"/>
      <c r="Q1083" s="11">
        <v>0</v>
      </c>
      <c r="R1083" s="4"/>
      <c r="S1083" s="12"/>
    </row>
    <row r="1084" spans="1:19" x14ac:dyDescent="0.25">
      <c r="A1084" s="9" t="s">
        <v>359</v>
      </c>
      <c r="B1084" s="9" t="s">
        <v>359</v>
      </c>
      <c r="C1084" s="4">
        <v>201005144</v>
      </c>
      <c r="D1084" s="4"/>
      <c r="E1084" s="4" t="str">
        <f>"104332010"</f>
        <v>104332010</v>
      </c>
      <c r="F1084" s="10">
        <v>40413</v>
      </c>
      <c r="G1084" s="11">
        <v>5191.74</v>
      </c>
      <c r="H1084" s="11">
        <v>5191.74</v>
      </c>
      <c r="I1084" s="4" t="s">
        <v>366</v>
      </c>
      <c r="J1084" s="4" t="s">
        <v>367</v>
      </c>
      <c r="K1084" s="11">
        <v>0</v>
      </c>
      <c r="L1084" s="4"/>
      <c r="M1084" s="4"/>
      <c r="N1084" s="11">
        <v>0</v>
      </c>
      <c r="O1084" s="4"/>
      <c r="P1084" s="4"/>
      <c r="Q1084" s="11">
        <v>0</v>
      </c>
      <c r="R1084" s="4"/>
      <c r="S1084" s="12"/>
    </row>
    <row r="1085" spans="1:19" x14ac:dyDescent="0.25">
      <c r="A1085" s="9" t="s">
        <v>359</v>
      </c>
      <c r="B1085" s="9" t="s">
        <v>359</v>
      </c>
      <c r="C1085" s="4">
        <v>201005152</v>
      </c>
      <c r="D1085" s="4"/>
      <c r="E1085" s="4" t="str">
        <f>"103092010"</f>
        <v>103092010</v>
      </c>
      <c r="F1085" s="10">
        <v>40409</v>
      </c>
      <c r="G1085" s="11">
        <v>2529.2600000000002</v>
      </c>
      <c r="H1085" s="11">
        <v>2529.2600000000002</v>
      </c>
      <c r="I1085" s="4" t="s">
        <v>366</v>
      </c>
      <c r="J1085" s="4" t="s">
        <v>367</v>
      </c>
      <c r="K1085" s="11">
        <v>0</v>
      </c>
      <c r="L1085" s="4"/>
      <c r="M1085" s="4"/>
      <c r="N1085" s="11">
        <v>0</v>
      </c>
      <c r="O1085" s="4"/>
      <c r="P1085" s="4"/>
      <c r="Q1085" s="11">
        <v>0</v>
      </c>
      <c r="R1085" s="4"/>
      <c r="S1085" s="12"/>
    </row>
    <row r="1086" spans="1:19" x14ac:dyDescent="0.25">
      <c r="A1086" s="9" t="s">
        <v>359</v>
      </c>
      <c r="B1086" s="9" t="s">
        <v>359</v>
      </c>
      <c r="C1086" s="4">
        <v>201005159</v>
      </c>
      <c r="D1086" s="4"/>
      <c r="E1086" s="4" t="str">
        <f>"104272010"</f>
        <v>104272010</v>
      </c>
      <c r="F1086" s="10">
        <v>40413</v>
      </c>
      <c r="G1086" s="11">
        <v>5656.26</v>
      </c>
      <c r="H1086" s="11">
        <v>5656.26</v>
      </c>
      <c r="I1086" s="4" t="s">
        <v>366</v>
      </c>
      <c r="J1086" s="4" t="s">
        <v>367</v>
      </c>
      <c r="K1086" s="11">
        <v>0</v>
      </c>
      <c r="L1086" s="4"/>
      <c r="M1086" s="4"/>
      <c r="N1086" s="11">
        <v>0</v>
      </c>
      <c r="O1086" s="4"/>
      <c r="P1086" s="4"/>
      <c r="Q1086" s="11">
        <v>0</v>
      </c>
      <c r="R1086" s="4"/>
      <c r="S1086" s="12"/>
    </row>
    <row r="1087" spans="1:19" x14ac:dyDescent="0.25">
      <c r="A1087" s="9" t="s">
        <v>359</v>
      </c>
      <c r="B1087" s="9" t="s">
        <v>359</v>
      </c>
      <c r="C1087" s="4">
        <v>201005169</v>
      </c>
      <c r="D1087" s="4"/>
      <c r="E1087" s="4" t="str">
        <f>"105232010"</f>
        <v>105232010</v>
      </c>
      <c r="F1087" s="10">
        <v>40415</v>
      </c>
      <c r="G1087" s="11">
        <v>7062.14</v>
      </c>
      <c r="H1087" s="11">
        <v>7062.14</v>
      </c>
      <c r="I1087" s="4" t="s">
        <v>366</v>
      </c>
      <c r="J1087" s="4" t="s">
        <v>367</v>
      </c>
      <c r="K1087" s="11">
        <v>0</v>
      </c>
      <c r="L1087" s="4"/>
      <c r="M1087" s="4"/>
      <c r="N1087" s="11">
        <v>0</v>
      </c>
      <c r="O1087" s="4"/>
      <c r="P1087" s="4"/>
      <c r="Q1087" s="11">
        <v>0</v>
      </c>
      <c r="R1087" s="4"/>
      <c r="S1087" s="12"/>
    </row>
    <row r="1088" spans="1:19" x14ac:dyDescent="0.25">
      <c r="A1088" s="9" t="s">
        <v>359</v>
      </c>
      <c r="B1088" s="9" t="s">
        <v>359</v>
      </c>
      <c r="C1088" s="4">
        <v>201005272</v>
      </c>
      <c r="D1088" s="4" t="s">
        <v>1921</v>
      </c>
      <c r="E1088" s="4" t="str">
        <f>"106312010"</f>
        <v>106312010</v>
      </c>
      <c r="F1088" s="10">
        <v>40417</v>
      </c>
      <c r="G1088" s="11">
        <v>10388.379999999999</v>
      </c>
      <c r="H1088" s="11">
        <v>10388.379999999999</v>
      </c>
      <c r="I1088" s="4" t="s">
        <v>366</v>
      </c>
      <c r="J1088" s="4" t="s">
        <v>367</v>
      </c>
      <c r="K1088" s="11">
        <v>0</v>
      </c>
      <c r="L1088" s="4"/>
      <c r="M1088" s="4"/>
      <c r="N1088" s="11">
        <v>0</v>
      </c>
      <c r="O1088" s="4"/>
      <c r="P1088" s="4"/>
      <c r="Q1088" s="11">
        <v>0</v>
      </c>
      <c r="R1088" s="4"/>
      <c r="S1088" s="12"/>
    </row>
    <row r="1089" spans="1:19" x14ac:dyDescent="0.25">
      <c r="A1089" s="9" t="s">
        <v>359</v>
      </c>
      <c r="B1089" s="9" t="s">
        <v>359</v>
      </c>
      <c r="C1089" s="4">
        <v>201005273</v>
      </c>
      <c r="D1089" s="4" t="s">
        <v>1922</v>
      </c>
      <c r="E1089" s="4" t="str">
        <f>"105672010"</f>
        <v>105672010</v>
      </c>
      <c r="F1089" s="10">
        <v>40415</v>
      </c>
      <c r="G1089" s="11">
        <v>8500</v>
      </c>
      <c r="H1089" s="11">
        <v>8500</v>
      </c>
      <c r="I1089" s="4" t="s">
        <v>366</v>
      </c>
      <c r="J1089" s="4" t="s">
        <v>367</v>
      </c>
      <c r="K1089" s="11">
        <v>0</v>
      </c>
      <c r="L1089" s="4"/>
      <c r="M1089" s="4"/>
      <c r="N1089" s="11">
        <v>0</v>
      </c>
      <c r="O1089" s="4"/>
      <c r="P1089" s="4"/>
      <c r="Q1089" s="11">
        <v>0</v>
      </c>
      <c r="R1089" s="4"/>
      <c r="S1089" s="12"/>
    </row>
    <row r="1090" spans="1:19" x14ac:dyDescent="0.25">
      <c r="A1090" s="9" t="s">
        <v>359</v>
      </c>
      <c r="B1090" s="9" t="s">
        <v>359</v>
      </c>
      <c r="C1090" s="4">
        <v>201005275</v>
      </c>
      <c r="D1090" s="4" t="s">
        <v>1922</v>
      </c>
      <c r="E1090" s="4" t="str">
        <f>"105812010"</f>
        <v>105812010</v>
      </c>
      <c r="F1090" s="10">
        <v>40416</v>
      </c>
      <c r="G1090" s="11">
        <v>17000</v>
      </c>
      <c r="H1090" s="11">
        <v>17000</v>
      </c>
      <c r="I1090" s="4" t="s">
        <v>366</v>
      </c>
      <c r="J1090" s="4" t="s">
        <v>367</v>
      </c>
      <c r="K1090" s="11">
        <v>0</v>
      </c>
      <c r="L1090" s="4"/>
      <c r="M1090" s="4"/>
      <c r="N1090" s="11">
        <v>0</v>
      </c>
      <c r="O1090" s="4"/>
      <c r="P1090" s="4"/>
      <c r="Q1090" s="11">
        <v>0</v>
      </c>
      <c r="R1090" s="4"/>
      <c r="S1090" s="12"/>
    </row>
    <row r="1091" spans="1:19" x14ac:dyDescent="0.25">
      <c r="A1091" s="9" t="s">
        <v>359</v>
      </c>
      <c r="B1091" s="9" t="s">
        <v>359</v>
      </c>
      <c r="C1091" s="4">
        <v>201005326</v>
      </c>
      <c r="D1091" s="4"/>
      <c r="E1091" s="4" t="str">
        <f>"106352010"</f>
        <v>106352010</v>
      </c>
      <c r="F1091" s="10">
        <v>40417</v>
      </c>
      <c r="G1091" s="11">
        <v>3687.7</v>
      </c>
      <c r="H1091" s="11">
        <v>3687.7</v>
      </c>
      <c r="I1091" s="4" t="s">
        <v>54</v>
      </c>
      <c r="J1091" s="4" t="s">
        <v>55</v>
      </c>
      <c r="K1091" s="11">
        <v>0</v>
      </c>
      <c r="L1091" s="4"/>
      <c r="M1091" s="4"/>
      <c r="N1091" s="11">
        <v>0</v>
      </c>
      <c r="O1091" s="4"/>
      <c r="P1091" s="4"/>
      <c r="Q1091" s="11">
        <v>0</v>
      </c>
      <c r="R1091" s="4"/>
      <c r="S1091" s="12"/>
    </row>
    <row r="1092" spans="1:19" x14ac:dyDescent="0.25">
      <c r="A1092" s="9" t="s">
        <v>359</v>
      </c>
      <c r="B1092" s="9" t="s">
        <v>359</v>
      </c>
      <c r="C1092" s="4">
        <v>201005328</v>
      </c>
      <c r="D1092" s="4"/>
      <c r="E1092" s="4" t="str">
        <f>"106762010"</f>
        <v>106762010</v>
      </c>
      <c r="F1092" s="10">
        <v>40417</v>
      </c>
      <c r="G1092" s="11">
        <v>4545.26</v>
      </c>
      <c r="H1092" s="11">
        <v>4545.26</v>
      </c>
      <c r="I1092" s="4" t="s">
        <v>366</v>
      </c>
      <c r="J1092" s="4" t="s">
        <v>367</v>
      </c>
      <c r="K1092" s="11">
        <v>0</v>
      </c>
      <c r="L1092" s="4"/>
      <c r="M1092" s="4"/>
      <c r="N1092" s="11">
        <v>0</v>
      </c>
      <c r="O1092" s="4"/>
      <c r="P1092" s="4"/>
      <c r="Q1092" s="11">
        <v>0</v>
      </c>
      <c r="R1092" s="4"/>
      <c r="S1092" s="12"/>
    </row>
    <row r="1093" spans="1:19" x14ac:dyDescent="0.25">
      <c r="A1093" s="9" t="s">
        <v>359</v>
      </c>
      <c r="B1093" s="9" t="s">
        <v>359</v>
      </c>
      <c r="C1093" s="4">
        <v>201005341</v>
      </c>
      <c r="D1093" s="4"/>
      <c r="E1093" s="4" t="str">
        <f>"107182010"</f>
        <v>107182010</v>
      </c>
      <c r="F1093" s="10">
        <v>40423</v>
      </c>
      <c r="G1093" s="11">
        <v>3186.41</v>
      </c>
      <c r="H1093" s="11">
        <v>3186.41</v>
      </c>
      <c r="I1093" s="4" t="s">
        <v>366</v>
      </c>
      <c r="J1093" s="4" t="s">
        <v>367</v>
      </c>
      <c r="K1093" s="11">
        <v>0</v>
      </c>
      <c r="L1093" s="4"/>
      <c r="M1093" s="4"/>
      <c r="N1093" s="11">
        <v>0</v>
      </c>
      <c r="O1093" s="4"/>
      <c r="P1093" s="4"/>
      <c r="Q1093" s="11">
        <v>0</v>
      </c>
      <c r="R1093" s="4"/>
      <c r="S1093" s="12"/>
    </row>
    <row r="1094" spans="1:19" x14ac:dyDescent="0.25">
      <c r="A1094" s="9" t="s">
        <v>359</v>
      </c>
      <c r="B1094" s="9" t="s">
        <v>359</v>
      </c>
      <c r="C1094" s="4">
        <v>201005344</v>
      </c>
      <c r="D1094" s="4"/>
      <c r="E1094" s="4" t="str">
        <f>"110332010"</f>
        <v>110332010</v>
      </c>
      <c r="F1094" s="10">
        <v>40434</v>
      </c>
      <c r="G1094" s="11">
        <v>5799</v>
      </c>
      <c r="H1094" s="11">
        <v>5799</v>
      </c>
      <c r="I1094" s="4" t="s">
        <v>366</v>
      </c>
      <c r="J1094" s="4" t="s">
        <v>367</v>
      </c>
      <c r="K1094" s="11">
        <v>0</v>
      </c>
      <c r="L1094" s="4"/>
      <c r="M1094" s="4"/>
      <c r="N1094" s="11">
        <v>0</v>
      </c>
      <c r="O1094" s="4"/>
      <c r="P1094" s="4"/>
      <c r="Q1094" s="11">
        <v>0</v>
      </c>
      <c r="R1094" s="4"/>
      <c r="S1094" s="12"/>
    </row>
    <row r="1095" spans="1:19" x14ac:dyDescent="0.25">
      <c r="A1095" s="9" t="s">
        <v>359</v>
      </c>
      <c r="B1095" s="9" t="s">
        <v>359</v>
      </c>
      <c r="C1095" s="4">
        <v>201005378</v>
      </c>
      <c r="D1095" s="4"/>
      <c r="E1095" s="4" t="str">
        <f>"107752010"</f>
        <v>107752010</v>
      </c>
      <c r="F1095" s="10">
        <v>40423</v>
      </c>
      <c r="G1095" s="11">
        <v>9834.43</v>
      </c>
      <c r="H1095" s="11">
        <v>9834.43</v>
      </c>
      <c r="I1095" s="4" t="s">
        <v>366</v>
      </c>
      <c r="J1095" s="4" t="s">
        <v>367</v>
      </c>
      <c r="K1095" s="11">
        <v>0</v>
      </c>
      <c r="L1095" s="4"/>
      <c r="M1095" s="4"/>
      <c r="N1095" s="11">
        <v>0</v>
      </c>
      <c r="O1095" s="4"/>
      <c r="P1095" s="4"/>
      <c r="Q1095" s="11">
        <v>0</v>
      </c>
      <c r="R1095" s="4"/>
      <c r="S1095" s="12"/>
    </row>
    <row r="1096" spans="1:19" x14ac:dyDescent="0.25">
      <c r="A1096" s="9" t="s">
        <v>359</v>
      </c>
      <c r="B1096" s="9" t="s">
        <v>359</v>
      </c>
      <c r="C1096" s="4">
        <v>201005381</v>
      </c>
      <c r="D1096" s="4"/>
      <c r="E1096" s="4" t="str">
        <f>"107262010"</f>
        <v>107262010</v>
      </c>
      <c r="F1096" s="10">
        <v>40423</v>
      </c>
      <c r="G1096" s="11">
        <v>2977.5</v>
      </c>
      <c r="H1096" s="11">
        <v>2977.5</v>
      </c>
      <c r="I1096" s="4" t="s">
        <v>54</v>
      </c>
      <c r="J1096" s="4" t="s">
        <v>55</v>
      </c>
      <c r="K1096" s="11">
        <v>0</v>
      </c>
      <c r="L1096" s="4"/>
      <c r="M1096" s="4"/>
      <c r="N1096" s="11">
        <v>0</v>
      </c>
      <c r="O1096" s="4"/>
      <c r="P1096" s="4"/>
      <c r="Q1096" s="11">
        <v>0</v>
      </c>
      <c r="R1096" s="4"/>
      <c r="S1096" s="12"/>
    </row>
    <row r="1097" spans="1:19" x14ac:dyDescent="0.25">
      <c r="A1097" s="9" t="s">
        <v>359</v>
      </c>
      <c r="B1097" s="9" t="s">
        <v>359</v>
      </c>
      <c r="C1097" s="4">
        <v>201005382</v>
      </c>
      <c r="D1097" s="4"/>
      <c r="E1097" s="4" t="str">
        <f>"107732010"</f>
        <v>107732010</v>
      </c>
      <c r="F1097" s="10">
        <v>40423</v>
      </c>
      <c r="G1097" s="11">
        <v>3000</v>
      </c>
      <c r="H1097" s="11">
        <v>3000</v>
      </c>
      <c r="I1097" s="4" t="s">
        <v>366</v>
      </c>
      <c r="J1097" s="4" t="s">
        <v>367</v>
      </c>
      <c r="K1097" s="11">
        <v>0</v>
      </c>
      <c r="L1097" s="4"/>
      <c r="M1097" s="4"/>
      <c r="N1097" s="11">
        <v>0</v>
      </c>
      <c r="O1097" s="4"/>
      <c r="P1097" s="4"/>
      <c r="Q1097" s="11">
        <v>0</v>
      </c>
      <c r="R1097" s="4"/>
      <c r="S1097" s="12"/>
    </row>
    <row r="1098" spans="1:19" x14ac:dyDescent="0.25">
      <c r="A1098" s="9" t="s">
        <v>359</v>
      </c>
      <c r="B1098" s="9" t="s">
        <v>359</v>
      </c>
      <c r="C1098" s="4">
        <v>201005385</v>
      </c>
      <c r="D1098" s="4"/>
      <c r="E1098" s="4" t="str">
        <f>"107242010"</f>
        <v>107242010</v>
      </c>
      <c r="F1098" s="10">
        <v>40423</v>
      </c>
      <c r="G1098" s="11">
        <v>7953.32</v>
      </c>
      <c r="H1098" s="11">
        <v>7953.32</v>
      </c>
      <c r="I1098" s="4" t="s">
        <v>366</v>
      </c>
      <c r="J1098" s="4" t="s">
        <v>367</v>
      </c>
      <c r="K1098" s="11">
        <v>0</v>
      </c>
      <c r="L1098" s="4"/>
      <c r="M1098" s="4"/>
      <c r="N1098" s="11">
        <v>0</v>
      </c>
      <c r="O1098" s="4"/>
      <c r="P1098" s="4"/>
      <c r="Q1098" s="11">
        <v>0</v>
      </c>
      <c r="R1098" s="4"/>
      <c r="S1098" s="12"/>
    </row>
    <row r="1099" spans="1:19" x14ac:dyDescent="0.25">
      <c r="A1099" s="9" t="s">
        <v>359</v>
      </c>
      <c r="B1099" s="9" t="s">
        <v>359</v>
      </c>
      <c r="C1099" s="4">
        <v>201005401</v>
      </c>
      <c r="D1099" s="4" t="s">
        <v>1923</v>
      </c>
      <c r="E1099" s="4" t="str">
        <f>"107712010"</f>
        <v>107712010</v>
      </c>
      <c r="F1099" s="10">
        <v>40423</v>
      </c>
      <c r="G1099" s="11">
        <v>50000</v>
      </c>
      <c r="H1099" s="11">
        <v>50000</v>
      </c>
      <c r="I1099" s="4" t="s">
        <v>931</v>
      </c>
      <c r="J1099" s="4" t="s">
        <v>932</v>
      </c>
      <c r="K1099" s="11">
        <v>0</v>
      </c>
      <c r="L1099" s="4"/>
      <c r="M1099" s="4"/>
      <c r="N1099" s="11">
        <v>0</v>
      </c>
      <c r="O1099" s="4"/>
      <c r="P1099" s="4"/>
      <c r="Q1099" s="11">
        <v>0</v>
      </c>
      <c r="R1099" s="4"/>
      <c r="S1099" s="12"/>
    </row>
    <row r="1100" spans="1:19" x14ac:dyDescent="0.25">
      <c r="A1100" s="9" t="s">
        <v>359</v>
      </c>
      <c r="B1100" s="9" t="s">
        <v>359</v>
      </c>
      <c r="C1100" s="4">
        <v>201005431</v>
      </c>
      <c r="D1100" s="4"/>
      <c r="E1100" s="4" t="str">
        <f>"107832010"</f>
        <v>107832010</v>
      </c>
      <c r="F1100" s="10">
        <v>40424</v>
      </c>
      <c r="G1100" s="11">
        <v>2524.56</v>
      </c>
      <c r="H1100" s="11">
        <v>2524.56</v>
      </c>
      <c r="I1100" s="4" t="s">
        <v>366</v>
      </c>
      <c r="J1100" s="4" t="s">
        <v>367</v>
      </c>
      <c r="K1100" s="11">
        <v>0</v>
      </c>
      <c r="L1100" s="4"/>
      <c r="M1100" s="4"/>
      <c r="N1100" s="11">
        <v>0</v>
      </c>
      <c r="O1100" s="4"/>
      <c r="P1100" s="4"/>
      <c r="Q1100" s="11">
        <v>0</v>
      </c>
      <c r="R1100" s="4"/>
      <c r="S1100" s="12"/>
    </row>
    <row r="1101" spans="1:19" x14ac:dyDescent="0.25">
      <c r="A1101" s="9" t="s">
        <v>359</v>
      </c>
      <c r="B1101" s="9" t="s">
        <v>359</v>
      </c>
      <c r="C1101" s="4">
        <v>201005437</v>
      </c>
      <c r="D1101" s="4"/>
      <c r="E1101" s="4" t="str">
        <f>"110712010"</f>
        <v>110712010</v>
      </c>
      <c r="F1101" s="10">
        <v>40435</v>
      </c>
      <c r="G1101" s="11">
        <v>3560.83</v>
      </c>
      <c r="H1101" s="11">
        <v>3560.83</v>
      </c>
      <c r="I1101" s="4" t="s">
        <v>366</v>
      </c>
      <c r="J1101" s="4" t="s">
        <v>367</v>
      </c>
      <c r="K1101" s="11">
        <v>0</v>
      </c>
      <c r="L1101" s="4"/>
      <c r="M1101" s="4"/>
      <c r="N1101" s="11">
        <v>0</v>
      </c>
      <c r="O1101" s="4"/>
      <c r="P1101" s="4"/>
      <c r="Q1101" s="11">
        <v>0</v>
      </c>
      <c r="R1101" s="4"/>
      <c r="S1101" s="12"/>
    </row>
    <row r="1102" spans="1:19" x14ac:dyDescent="0.25">
      <c r="A1102" s="9" t="s">
        <v>359</v>
      </c>
      <c r="B1102" s="9" t="s">
        <v>359</v>
      </c>
      <c r="C1102" s="4">
        <v>201005438</v>
      </c>
      <c r="D1102" s="4"/>
      <c r="E1102" s="4" t="str">
        <f>"109352010"</f>
        <v>109352010</v>
      </c>
      <c r="F1102" s="10">
        <v>40430</v>
      </c>
      <c r="G1102" s="11">
        <v>2575</v>
      </c>
      <c r="H1102" s="11">
        <v>2575</v>
      </c>
      <c r="I1102" s="4" t="s">
        <v>366</v>
      </c>
      <c r="J1102" s="4" t="s">
        <v>367</v>
      </c>
      <c r="K1102" s="11">
        <v>0</v>
      </c>
      <c r="L1102" s="4"/>
      <c r="M1102" s="4"/>
      <c r="N1102" s="11">
        <v>0</v>
      </c>
      <c r="O1102" s="4"/>
      <c r="P1102" s="4"/>
      <c r="Q1102" s="11">
        <v>0</v>
      </c>
      <c r="R1102" s="4"/>
      <c r="S1102" s="12"/>
    </row>
    <row r="1103" spans="1:19" x14ac:dyDescent="0.25">
      <c r="A1103" s="9" t="s">
        <v>359</v>
      </c>
      <c r="B1103" s="9" t="s">
        <v>359</v>
      </c>
      <c r="C1103" s="4">
        <v>201005444</v>
      </c>
      <c r="D1103" s="4"/>
      <c r="E1103" s="4" t="str">
        <f>"109392010"</f>
        <v>109392010</v>
      </c>
      <c r="F1103" s="10">
        <v>40430</v>
      </c>
      <c r="G1103" s="11">
        <v>7974.49</v>
      </c>
      <c r="H1103" s="11">
        <v>7974.49</v>
      </c>
      <c r="I1103" s="4" t="s">
        <v>366</v>
      </c>
      <c r="J1103" s="4" t="s">
        <v>367</v>
      </c>
      <c r="K1103" s="11">
        <v>0</v>
      </c>
      <c r="L1103" s="4"/>
      <c r="M1103" s="4"/>
      <c r="N1103" s="11">
        <v>0</v>
      </c>
      <c r="O1103" s="4"/>
      <c r="P1103" s="4"/>
      <c r="Q1103" s="11">
        <v>0</v>
      </c>
      <c r="R1103" s="4"/>
      <c r="S1103" s="12"/>
    </row>
    <row r="1104" spans="1:19" x14ac:dyDescent="0.25">
      <c r="A1104" s="9" t="s">
        <v>359</v>
      </c>
      <c r="B1104" s="9" t="s">
        <v>359</v>
      </c>
      <c r="C1104" s="4">
        <v>201005451</v>
      </c>
      <c r="D1104" s="4" t="s">
        <v>1924</v>
      </c>
      <c r="E1104" s="4" t="str">
        <f>"109412010"</f>
        <v>109412010</v>
      </c>
      <c r="F1104" s="10">
        <v>40430</v>
      </c>
      <c r="G1104" s="11">
        <v>9500</v>
      </c>
      <c r="H1104" s="11">
        <v>9500</v>
      </c>
      <c r="I1104" s="4" t="s">
        <v>366</v>
      </c>
      <c r="J1104" s="4" t="s">
        <v>367</v>
      </c>
      <c r="K1104" s="11">
        <v>0</v>
      </c>
      <c r="L1104" s="4"/>
      <c r="M1104" s="4"/>
      <c r="N1104" s="11">
        <v>0</v>
      </c>
      <c r="O1104" s="4"/>
      <c r="P1104" s="4"/>
      <c r="Q1104" s="11">
        <v>0</v>
      </c>
      <c r="R1104" s="4"/>
      <c r="S1104" s="12"/>
    </row>
    <row r="1105" spans="1:19" x14ac:dyDescent="0.25">
      <c r="A1105" s="9" t="s">
        <v>359</v>
      </c>
      <c r="B1105" s="9" t="s">
        <v>359</v>
      </c>
      <c r="C1105" s="4">
        <v>201005453</v>
      </c>
      <c r="D1105" s="4" t="s">
        <v>1925</v>
      </c>
      <c r="E1105" s="4" t="str">
        <f>"109432010"</f>
        <v>109432010</v>
      </c>
      <c r="F1105" s="10">
        <v>40430</v>
      </c>
      <c r="G1105" s="11">
        <v>10500</v>
      </c>
      <c r="H1105" s="11">
        <v>10500</v>
      </c>
      <c r="I1105" s="4" t="s">
        <v>366</v>
      </c>
      <c r="J1105" s="4" t="s">
        <v>367</v>
      </c>
      <c r="K1105" s="11">
        <v>0</v>
      </c>
      <c r="L1105" s="4"/>
      <c r="M1105" s="4"/>
      <c r="N1105" s="11">
        <v>0</v>
      </c>
      <c r="O1105" s="4"/>
      <c r="P1105" s="4"/>
      <c r="Q1105" s="11">
        <v>0</v>
      </c>
      <c r="R1105" s="4"/>
      <c r="S1105" s="12"/>
    </row>
    <row r="1106" spans="1:19" x14ac:dyDescent="0.25">
      <c r="A1106" s="9" t="s">
        <v>359</v>
      </c>
      <c r="B1106" s="9" t="s">
        <v>359</v>
      </c>
      <c r="C1106" s="4">
        <v>201005459</v>
      </c>
      <c r="D1106" s="4"/>
      <c r="E1106" s="4" t="str">
        <f>"110352010"</f>
        <v>110352010</v>
      </c>
      <c r="F1106" s="10">
        <v>40436</v>
      </c>
      <c r="G1106" s="11">
        <v>3776</v>
      </c>
      <c r="H1106" s="11">
        <v>3776</v>
      </c>
      <c r="I1106" s="4" t="s">
        <v>366</v>
      </c>
      <c r="J1106" s="4" t="s">
        <v>367</v>
      </c>
      <c r="K1106" s="11">
        <v>0</v>
      </c>
      <c r="L1106" s="4"/>
      <c r="M1106" s="4"/>
      <c r="N1106" s="11">
        <v>0</v>
      </c>
      <c r="O1106" s="4"/>
      <c r="P1106" s="4"/>
      <c r="Q1106" s="11">
        <v>0</v>
      </c>
      <c r="R1106" s="4"/>
      <c r="S1106" s="12"/>
    </row>
    <row r="1107" spans="1:19" x14ac:dyDescent="0.25">
      <c r="A1107" s="9" t="s">
        <v>359</v>
      </c>
      <c r="B1107" s="9" t="s">
        <v>359</v>
      </c>
      <c r="C1107" s="4">
        <v>201005512</v>
      </c>
      <c r="D1107" s="4" t="s">
        <v>1926</v>
      </c>
      <c r="E1107" s="4" t="str">
        <f>"110852010"</f>
        <v>110852010</v>
      </c>
      <c r="F1107" s="10">
        <v>40435</v>
      </c>
      <c r="G1107" s="11">
        <v>45000</v>
      </c>
      <c r="H1107" s="11">
        <v>45000</v>
      </c>
      <c r="I1107" s="4" t="s">
        <v>366</v>
      </c>
      <c r="J1107" s="4" t="s">
        <v>367</v>
      </c>
      <c r="K1107" s="11">
        <v>0</v>
      </c>
      <c r="L1107" s="4"/>
      <c r="M1107" s="4"/>
      <c r="N1107" s="11">
        <v>0</v>
      </c>
      <c r="O1107" s="4"/>
      <c r="P1107" s="4"/>
      <c r="Q1107" s="11">
        <v>0</v>
      </c>
      <c r="R1107" s="4"/>
      <c r="S1107" s="12"/>
    </row>
    <row r="1108" spans="1:19" x14ac:dyDescent="0.25">
      <c r="A1108" s="9" t="s">
        <v>359</v>
      </c>
      <c r="B1108" s="9" t="s">
        <v>359</v>
      </c>
      <c r="C1108" s="4">
        <v>201005521</v>
      </c>
      <c r="D1108" s="4"/>
      <c r="E1108" s="4" t="str">
        <f>"110432010"</f>
        <v>110432010</v>
      </c>
      <c r="F1108" s="10">
        <v>40436</v>
      </c>
      <c r="G1108" s="11">
        <v>140618.45000000001</v>
      </c>
      <c r="H1108" s="11">
        <v>140618.45000000001</v>
      </c>
      <c r="I1108" s="4" t="s">
        <v>1823</v>
      </c>
      <c r="J1108" s="4" t="s">
        <v>1824</v>
      </c>
      <c r="K1108" s="11">
        <v>0</v>
      </c>
      <c r="L1108" s="4"/>
      <c r="M1108" s="4"/>
      <c r="N1108" s="11">
        <v>0</v>
      </c>
      <c r="O1108" s="4"/>
      <c r="P1108" s="4"/>
      <c r="Q1108" s="11">
        <v>0</v>
      </c>
      <c r="R1108" s="4"/>
      <c r="S1108" s="12"/>
    </row>
    <row r="1109" spans="1:19" x14ac:dyDescent="0.25">
      <c r="A1109" s="9" t="s">
        <v>359</v>
      </c>
      <c r="B1109" s="9" t="s">
        <v>359</v>
      </c>
      <c r="C1109" s="4">
        <v>201005549</v>
      </c>
      <c r="D1109" s="4" t="s">
        <v>1927</v>
      </c>
      <c r="E1109" s="4" t="str">
        <f>"114572010"</f>
        <v>114572010</v>
      </c>
      <c r="F1109" s="10">
        <v>40450</v>
      </c>
      <c r="G1109" s="11">
        <v>16000</v>
      </c>
      <c r="H1109" s="11">
        <v>16000</v>
      </c>
      <c r="I1109" s="4" t="s">
        <v>366</v>
      </c>
      <c r="J1109" s="4" t="s">
        <v>367</v>
      </c>
      <c r="K1109" s="11">
        <v>0</v>
      </c>
      <c r="L1109" s="4"/>
      <c r="M1109" s="4"/>
      <c r="N1109" s="11">
        <v>0</v>
      </c>
      <c r="O1109" s="4"/>
      <c r="P1109" s="4"/>
      <c r="Q1109" s="11">
        <v>0</v>
      </c>
      <c r="R1109" s="4"/>
      <c r="S1109" s="12"/>
    </row>
    <row r="1110" spans="1:19" x14ac:dyDescent="0.25">
      <c r="A1110" s="9" t="s">
        <v>359</v>
      </c>
      <c r="B1110" s="9" t="s">
        <v>359</v>
      </c>
      <c r="C1110" s="4">
        <v>201005553</v>
      </c>
      <c r="D1110" s="4"/>
      <c r="E1110" s="4" t="str">
        <f>"112202010"</f>
        <v>112202010</v>
      </c>
      <c r="F1110" s="10">
        <v>40443</v>
      </c>
      <c r="G1110" s="11">
        <v>12500</v>
      </c>
      <c r="H1110" s="11">
        <v>12500</v>
      </c>
      <c r="I1110" s="4" t="s">
        <v>366</v>
      </c>
      <c r="J1110" s="4" t="s">
        <v>367</v>
      </c>
      <c r="K1110" s="11">
        <v>0</v>
      </c>
      <c r="L1110" s="4"/>
      <c r="M1110" s="4"/>
      <c r="N1110" s="11">
        <v>0</v>
      </c>
      <c r="O1110" s="4"/>
      <c r="P1110" s="4"/>
      <c r="Q1110" s="11">
        <v>0</v>
      </c>
      <c r="R1110" s="4"/>
      <c r="S1110" s="12"/>
    </row>
    <row r="1111" spans="1:19" x14ac:dyDescent="0.25">
      <c r="A1111" s="9" t="s">
        <v>359</v>
      </c>
      <c r="B1111" s="9" t="s">
        <v>359</v>
      </c>
      <c r="C1111" s="4">
        <v>201005620</v>
      </c>
      <c r="D1111" s="4"/>
      <c r="E1111" s="4" t="str">
        <f>"113042010"</f>
        <v>113042010</v>
      </c>
      <c r="F1111" s="10">
        <v>40445</v>
      </c>
      <c r="G1111" s="11">
        <v>8239.35</v>
      </c>
      <c r="H1111" s="11">
        <v>8239.35</v>
      </c>
      <c r="I1111" s="4" t="s">
        <v>366</v>
      </c>
      <c r="J1111" s="4" t="s">
        <v>367</v>
      </c>
      <c r="K1111" s="11">
        <v>0</v>
      </c>
      <c r="L1111" s="4"/>
      <c r="M1111" s="4"/>
      <c r="N1111" s="11">
        <v>0</v>
      </c>
      <c r="O1111" s="4"/>
      <c r="P1111" s="4"/>
      <c r="Q1111" s="11">
        <v>0</v>
      </c>
      <c r="R1111" s="4"/>
      <c r="S1111" s="12"/>
    </row>
    <row r="1112" spans="1:19" x14ac:dyDescent="0.25">
      <c r="A1112" s="9" t="s">
        <v>359</v>
      </c>
      <c r="B1112" s="9" t="s">
        <v>359</v>
      </c>
      <c r="C1112" s="4">
        <v>201005625</v>
      </c>
      <c r="D1112" s="4"/>
      <c r="E1112" s="4" t="str">
        <f>"113842010"</f>
        <v>113842010</v>
      </c>
      <c r="F1112" s="10">
        <v>40449</v>
      </c>
      <c r="G1112" s="11">
        <v>4790.25</v>
      </c>
      <c r="H1112" s="11">
        <v>4790.25</v>
      </c>
      <c r="I1112" s="4" t="s">
        <v>366</v>
      </c>
      <c r="J1112" s="4" t="s">
        <v>367</v>
      </c>
      <c r="K1112" s="11">
        <v>0</v>
      </c>
      <c r="L1112" s="4"/>
      <c r="M1112" s="4"/>
      <c r="N1112" s="11">
        <v>0</v>
      </c>
      <c r="O1112" s="4"/>
      <c r="P1112" s="4"/>
      <c r="Q1112" s="11">
        <v>0</v>
      </c>
      <c r="R1112" s="4"/>
      <c r="S1112" s="12"/>
    </row>
    <row r="1113" spans="1:19" x14ac:dyDescent="0.25">
      <c r="A1113" s="9" t="s">
        <v>359</v>
      </c>
      <c r="B1113" s="9" t="s">
        <v>359</v>
      </c>
      <c r="C1113" s="4">
        <v>201005627</v>
      </c>
      <c r="D1113" s="4"/>
      <c r="E1113" s="4" t="str">
        <f>"112282010"</f>
        <v>112282010</v>
      </c>
      <c r="F1113" s="10">
        <v>40444</v>
      </c>
      <c r="G1113" s="11">
        <v>3024.64</v>
      </c>
      <c r="H1113" s="11">
        <v>3024.64</v>
      </c>
      <c r="I1113" s="4" t="s">
        <v>366</v>
      </c>
      <c r="J1113" s="4" t="s">
        <v>367</v>
      </c>
      <c r="K1113" s="11">
        <v>0</v>
      </c>
      <c r="L1113" s="4"/>
      <c r="M1113" s="4"/>
      <c r="N1113" s="11">
        <v>0</v>
      </c>
      <c r="O1113" s="4"/>
      <c r="P1113" s="4"/>
      <c r="Q1113" s="11">
        <v>0</v>
      </c>
      <c r="R1113" s="4"/>
      <c r="S1113" s="12"/>
    </row>
    <row r="1114" spans="1:19" x14ac:dyDescent="0.25">
      <c r="A1114" s="9" t="s">
        <v>359</v>
      </c>
      <c r="B1114" s="9" t="s">
        <v>359</v>
      </c>
      <c r="C1114" s="4">
        <v>201005628</v>
      </c>
      <c r="D1114" s="4" t="s">
        <v>1928</v>
      </c>
      <c r="E1114" s="4" t="str">
        <f>"113882010"</f>
        <v>113882010</v>
      </c>
      <c r="F1114" s="10">
        <v>40449</v>
      </c>
      <c r="G1114" s="11">
        <v>17000</v>
      </c>
      <c r="H1114" s="11">
        <v>17000</v>
      </c>
      <c r="I1114" s="4" t="s">
        <v>366</v>
      </c>
      <c r="J1114" s="4" t="s">
        <v>367</v>
      </c>
      <c r="K1114" s="11">
        <v>0</v>
      </c>
      <c r="L1114" s="4"/>
      <c r="M1114" s="4"/>
      <c r="N1114" s="11">
        <v>0</v>
      </c>
      <c r="O1114" s="4"/>
      <c r="P1114" s="4"/>
      <c r="Q1114" s="11">
        <v>0</v>
      </c>
      <c r="R1114" s="4"/>
      <c r="S1114" s="12"/>
    </row>
    <row r="1115" spans="1:19" x14ac:dyDescent="0.25">
      <c r="A1115" s="9" t="s">
        <v>359</v>
      </c>
      <c r="B1115" s="9" t="s">
        <v>291</v>
      </c>
      <c r="C1115" s="4">
        <v>201005653</v>
      </c>
      <c r="D1115" s="4" t="s">
        <v>1929</v>
      </c>
      <c r="E1115" s="4" t="str">
        <f>"114022010"</f>
        <v>114022010</v>
      </c>
      <c r="F1115" s="10">
        <v>40449</v>
      </c>
      <c r="G1115" s="11">
        <v>16562.599999999999</v>
      </c>
      <c r="H1115" s="11">
        <v>16562.599999999999</v>
      </c>
      <c r="I1115" s="4" t="s">
        <v>366</v>
      </c>
      <c r="J1115" s="4" t="s">
        <v>367</v>
      </c>
      <c r="K1115" s="11">
        <v>0</v>
      </c>
      <c r="L1115" s="4"/>
      <c r="M1115" s="4"/>
      <c r="N1115" s="11">
        <v>0</v>
      </c>
      <c r="O1115" s="4"/>
      <c r="P1115" s="4"/>
      <c r="Q1115" s="11">
        <v>0</v>
      </c>
      <c r="R1115" s="4"/>
      <c r="S1115" s="12"/>
    </row>
    <row r="1116" spans="1:19" x14ac:dyDescent="0.25">
      <c r="A1116" s="9" t="s">
        <v>359</v>
      </c>
      <c r="B1116" s="9" t="s">
        <v>359</v>
      </c>
      <c r="C1116" s="4">
        <v>201005658</v>
      </c>
      <c r="D1116" s="4"/>
      <c r="E1116" s="4" t="str">
        <f>"114042010"</f>
        <v>114042010</v>
      </c>
      <c r="F1116" s="10">
        <v>40449</v>
      </c>
      <c r="G1116" s="11">
        <v>2837.8</v>
      </c>
      <c r="H1116" s="11">
        <v>2837.8</v>
      </c>
      <c r="I1116" s="4" t="s">
        <v>366</v>
      </c>
      <c r="J1116" s="4" t="s">
        <v>367</v>
      </c>
      <c r="K1116" s="11">
        <v>0</v>
      </c>
      <c r="L1116" s="4"/>
      <c r="M1116" s="4"/>
      <c r="N1116" s="11">
        <v>0</v>
      </c>
      <c r="O1116" s="4"/>
      <c r="P1116" s="4"/>
      <c r="Q1116" s="11">
        <v>0</v>
      </c>
      <c r="R1116" s="4"/>
      <c r="S1116" s="12"/>
    </row>
    <row r="1117" spans="1:19" x14ac:dyDescent="0.25">
      <c r="A1117" s="9" t="s">
        <v>359</v>
      </c>
      <c r="B1117" s="9" t="s">
        <v>359</v>
      </c>
      <c r="C1117" s="4">
        <v>201005673</v>
      </c>
      <c r="D1117" s="4" t="s">
        <v>1930</v>
      </c>
      <c r="E1117" s="4" t="str">
        <f>"114062010"</f>
        <v>114062010</v>
      </c>
      <c r="F1117" s="10">
        <v>40449</v>
      </c>
      <c r="G1117" s="11">
        <v>6000</v>
      </c>
      <c r="H1117" s="11">
        <v>6000</v>
      </c>
      <c r="I1117" s="4" t="s">
        <v>931</v>
      </c>
      <c r="J1117" s="4" t="s">
        <v>932</v>
      </c>
      <c r="K1117" s="11">
        <v>0</v>
      </c>
      <c r="L1117" s="4"/>
      <c r="M1117" s="4"/>
      <c r="N1117" s="11">
        <v>0</v>
      </c>
      <c r="O1117" s="4"/>
      <c r="P1117" s="4"/>
      <c r="Q1117" s="11">
        <v>0</v>
      </c>
      <c r="R1117" s="4"/>
      <c r="S1117" s="12"/>
    </row>
    <row r="1118" spans="1:19" x14ac:dyDescent="0.25">
      <c r="A1118" s="9" t="s">
        <v>359</v>
      </c>
      <c r="B1118" s="9" t="s">
        <v>359</v>
      </c>
      <c r="C1118" s="4">
        <v>201005679</v>
      </c>
      <c r="D1118" s="4"/>
      <c r="E1118" s="4" t="str">
        <f>"113182010"</f>
        <v>113182010</v>
      </c>
      <c r="F1118" s="10">
        <v>40445</v>
      </c>
      <c r="G1118" s="11">
        <v>4645</v>
      </c>
      <c r="H1118" s="11">
        <v>4645</v>
      </c>
      <c r="I1118" s="4" t="s">
        <v>366</v>
      </c>
      <c r="J1118" s="4" t="s">
        <v>367</v>
      </c>
      <c r="K1118" s="11">
        <v>0</v>
      </c>
      <c r="L1118" s="4"/>
      <c r="M1118" s="4"/>
      <c r="N1118" s="11">
        <v>0</v>
      </c>
      <c r="O1118" s="4"/>
      <c r="P1118" s="4"/>
      <c r="Q1118" s="11">
        <v>0</v>
      </c>
      <c r="R1118" s="4"/>
      <c r="S1118" s="12"/>
    </row>
    <row r="1119" spans="1:19" x14ac:dyDescent="0.25">
      <c r="A1119" s="9" t="s">
        <v>359</v>
      </c>
      <c r="B1119" s="9" t="s">
        <v>359</v>
      </c>
      <c r="C1119" s="4">
        <v>201005683</v>
      </c>
      <c r="D1119" s="4"/>
      <c r="E1119" s="4" t="str">
        <f>"114932010"</f>
        <v>114932010</v>
      </c>
      <c r="F1119" s="10">
        <v>40450</v>
      </c>
      <c r="G1119" s="11">
        <v>6860</v>
      </c>
      <c r="H1119" s="11">
        <v>6860</v>
      </c>
      <c r="I1119" s="4" t="s">
        <v>366</v>
      </c>
      <c r="J1119" s="4" t="s">
        <v>367</v>
      </c>
      <c r="K1119" s="11">
        <v>0</v>
      </c>
      <c r="L1119" s="4"/>
      <c r="M1119" s="4"/>
      <c r="N1119" s="11">
        <v>0</v>
      </c>
      <c r="O1119" s="4"/>
      <c r="P1119" s="4"/>
      <c r="Q1119" s="11">
        <v>0</v>
      </c>
      <c r="R1119" s="4"/>
      <c r="S1119" s="12"/>
    </row>
    <row r="1120" spans="1:19" x14ac:dyDescent="0.25">
      <c r="A1120" s="9" t="s">
        <v>359</v>
      </c>
      <c r="B1120" s="9" t="s">
        <v>359</v>
      </c>
      <c r="C1120" s="4">
        <v>201005685</v>
      </c>
      <c r="D1120" s="4" t="s">
        <v>1931</v>
      </c>
      <c r="E1120" s="4" t="str">
        <f>"114002010"</f>
        <v>114002010</v>
      </c>
      <c r="F1120" s="10">
        <v>40449</v>
      </c>
      <c r="G1120" s="11">
        <v>11000</v>
      </c>
      <c r="H1120" s="11">
        <v>11000</v>
      </c>
      <c r="I1120" s="4" t="s">
        <v>366</v>
      </c>
      <c r="J1120" s="4" t="s">
        <v>367</v>
      </c>
      <c r="K1120" s="11">
        <v>0</v>
      </c>
      <c r="L1120" s="4"/>
      <c r="M1120" s="4"/>
      <c r="N1120" s="11">
        <v>0</v>
      </c>
      <c r="O1120" s="4"/>
      <c r="P1120" s="4"/>
      <c r="Q1120" s="11">
        <v>0</v>
      </c>
      <c r="R1120" s="4"/>
      <c r="S1120" s="12"/>
    </row>
    <row r="1121" spans="1:19" x14ac:dyDescent="0.25">
      <c r="A1121" s="9" t="s">
        <v>359</v>
      </c>
      <c r="B1121" s="9" t="s">
        <v>359</v>
      </c>
      <c r="C1121" s="4">
        <v>201005745</v>
      </c>
      <c r="D1121" s="4"/>
      <c r="E1121" s="4" t="str">
        <f>"115012010"</f>
        <v>115012010</v>
      </c>
      <c r="F1121" s="10">
        <v>40450</v>
      </c>
      <c r="G1121" s="11">
        <v>11874.61</v>
      </c>
      <c r="H1121" s="11">
        <v>11874.61</v>
      </c>
      <c r="I1121" s="4" t="s">
        <v>366</v>
      </c>
      <c r="J1121" s="4" t="s">
        <v>367</v>
      </c>
      <c r="K1121" s="11">
        <v>0</v>
      </c>
      <c r="L1121" s="4"/>
      <c r="M1121" s="4"/>
      <c r="N1121" s="11">
        <v>0</v>
      </c>
      <c r="O1121" s="4"/>
      <c r="P1121" s="4"/>
      <c r="Q1121" s="11">
        <v>0</v>
      </c>
      <c r="R1121" s="4"/>
      <c r="S1121" s="12"/>
    </row>
    <row r="1122" spans="1:19" x14ac:dyDescent="0.25">
      <c r="A1122" s="9" t="s">
        <v>359</v>
      </c>
      <c r="B1122" s="9" t="s">
        <v>359</v>
      </c>
      <c r="C1122" s="4">
        <v>201005747</v>
      </c>
      <c r="D1122" s="4"/>
      <c r="E1122" s="4" t="str">
        <f>"115312010"</f>
        <v>115312010</v>
      </c>
      <c r="F1122" s="10">
        <v>40450</v>
      </c>
      <c r="G1122" s="11">
        <v>3939.52</v>
      </c>
      <c r="H1122" s="11">
        <v>3939.52</v>
      </c>
      <c r="I1122" s="4" t="s">
        <v>366</v>
      </c>
      <c r="J1122" s="4" t="s">
        <v>367</v>
      </c>
      <c r="K1122" s="11">
        <v>0</v>
      </c>
      <c r="L1122" s="4"/>
      <c r="M1122" s="4"/>
      <c r="N1122" s="11">
        <v>0</v>
      </c>
      <c r="O1122" s="4"/>
      <c r="P1122" s="4"/>
      <c r="Q1122" s="11">
        <v>0</v>
      </c>
      <c r="R1122" s="4"/>
      <c r="S1122" s="12"/>
    </row>
    <row r="1123" spans="1:19" x14ac:dyDescent="0.25">
      <c r="A1123" s="9" t="s">
        <v>359</v>
      </c>
      <c r="B1123" s="9" t="s">
        <v>359</v>
      </c>
      <c r="C1123" s="4">
        <v>201005752</v>
      </c>
      <c r="D1123" s="4"/>
      <c r="E1123" s="4" t="str">
        <f>"115232010"</f>
        <v>115232010</v>
      </c>
      <c r="F1123" s="10">
        <v>40450</v>
      </c>
      <c r="G1123" s="11">
        <v>3530.91</v>
      </c>
      <c r="H1123" s="11">
        <v>3530.91</v>
      </c>
      <c r="I1123" s="4" t="s">
        <v>366</v>
      </c>
      <c r="J1123" s="4" t="s">
        <v>367</v>
      </c>
      <c r="K1123" s="11">
        <v>0</v>
      </c>
      <c r="L1123" s="4"/>
      <c r="M1123" s="4"/>
      <c r="N1123" s="11">
        <v>0</v>
      </c>
      <c r="O1123" s="4"/>
      <c r="P1123" s="4"/>
      <c r="Q1123" s="11">
        <v>0</v>
      </c>
      <c r="R1123" s="4"/>
      <c r="S1123" s="12"/>
    </row>
    <row r="1124" spans="1:19" x14ac:dyDescent="0.25">
      <c r="A1124" s="9" t="s">
        <v>359</v>
      </c>
      <c r="B1124" s="9" t="s">
        <v>359</v>
      </c>
      <c r="C1124" s="4">
        <v>201005798</v>
      </c>
      <c r="D1124" s="4"/>
      <c r="E1124" s="4" t="str">
        <f>"115842010"</f>
        <v>115842010</v>
      </c>
      <c r="F1124" s="10">
        <v>40450</v>
      </c>
      <c r="G1124" s="11">
        <v>2814.02</v>
      </c>
      <c r="H1124" s="11">
        <v>2814.02</v>
      </c>
      <c r="I1124" s="4" t="s">
        <v>366</v>
      </c>
      <c r="J1124" s="4" t="s">
        <v>367</v>
      </c>
      <c r="K1124" s="11">
        <v>0</v>
      </c>
      <c r="L1124" s="4"/>
      <c r="M1124" s="4"/>
      <c r="N1124" s="11">
        <v>0</v>
      </c>
      <c r="O1124" s="4"/>
      <c r="P1124" s="4"/>
      <c r="Q1124" s="11">
        <v>0</v>
      </c>
      <c r="R1124" s="4"/>
      <c r="S1124" s="12"/>
    </row>
    <row r="1125" spans="1:19" x14ac:dyDescent="0.25">
      <c r="A1125" s="9" t="s">
        <v>433</v>
      </c>
      <c r="B1125" s="9" t="s">
        <v>433</v>
      </c>
      <c r="C1125" s="4">
        <v>201000001</v>
      </c>
      <c r="D1125" s="4"/>
      <c r="E1125" s="4" t="str">
        <f>"000022010"</f>
        <v>000022010</v>
      </c>
      <c r="F1125" s="10">
        <v>40094</v>
      </c>
      <c r="G1125" s="11">
        <v>2554.5500000000002</v>
      </c>
      <c r="H1125" s="11">
        <v>2554.5500000000002</v>
      </c>
      <c r="I1125" s="4" t="s">
        <v>366</v>
      </c>
      <c r="J1125" s="4" t="s">
        <v>367</v>
      </c>
      <c r="K1125" s="11">
        <v>0</v>
      </c>
      <c r="L1125" s="4"/>
      <c r="M1125" s="4"/>
      <c r="N1125" s="11">
        <v>0</v>
      </c>
      <c r="O1125" s="4"/>
      <c r="P1125" s="4"/>
      <c r="Q1125" s="11">
        <v>0</v>
      </c>
      <c r="R1125" s="4"/>
      <c r="S1125" s="12"/>
    </row>
    <row r="1126" spans="1:19" x14ac:dyDescent="0.25">
      <c r="A1126" s="9" t="s">
        <v>433</v>
      </c>
      <c r="B1126" s="9" t="s">
        <v>433</v>
      </c>
      <c r="C1126" s="4">
        <v>201001700</v>
      </c>
      <c r="D1126" s="4"/>
      <c r="E1126" s="4" t="str">
        <f>"035162010"</f>
        <v>035162010</v>
      </c>
      <c r="F1126" s="10">
        <v>40213</v>
      </c>
      <c r="G1126" s="11">
        <v>5000</v>
      </c>
      <c r="H1126" s="11">
        <v>5000</v>
      </c>
      <c r="I1126" s="4" t="s">
        <v>54</v>
      </c>
      <c r="J1126" s="4" t="s">
        <v>55</v>
      </c>
      <c r="K1126" s="11">
        <v>0</v>
      </c>
      <c r="L1126" s="4"/>
      <c r="M1126" s="4"/>
      <c r="N1126" s="11">
        <v>0</v>
      </c>
      <c r="O1126" s="4"/>
      <c r="P1126" s="4"/>
      <c r="Q1126" s="11">
        <v>0</v>
      </c>
      <c r="R1126" s="4"/>
      <c r="S1126" s="12"/>
    </row>
    <row r="1127" spans="1:19" x14ac:dyDescent="0.25">
      <c r="A1127" s="9" t="s">
        <v>433</v>
      </c>
      <c r="B1127" s="9" t="s">
        <v>433</v>
      </c>
      <c r="C1127" s="4">
        <v>201001839</v>
      </c>
      <c r="D1127" s="4"/>
      <c r="E1127" s="4" t="str">
        <f>"035402010"</f>
        <v>035402010</v>
      </c>
      <c r="F1127" s="10">
        <v>40213</v>
      </c>
      <c r="G1127" s="11">
        <v>2756.67</v>
      </c>
      <c r="H1127" s="11">
        <v>2756.67</v>
      </c>
      <c r="I1127" s="4" t="s">
        <v>366</v>
      </c>
      <c r="J1127" s="4" t="s">
        <v>367</v>
      </c>
      <c r="K1127" s="11">
        <v>0</v>
      </c>
      <c r="L1127" s="4"/>
      <c r="M1127" s="4"/>
      <c r="N1127" s="11">
        <v>0</v>
      </c>
      <c r="O1127" s="4"/>
      <c r="P1127" s="4"/>
      <c r="Q1127" s="11">
        <v>0</v>
      </c>
      <c r="R1127" s="4"/>
      <c r="S1127" s="12"/>
    </row>
    <row r="1128" spans="1:19" x14ac:dyDescent="0.25">
      <c r="A1128" s="9" t="s">
        <v>433</v>
      </c>
      <c r="B1128" s="9" t="s">
        <v>433</v>
      </c>
      <c r="C1128" s="4">
        <v>201002179</v>
      </c>
      <c r="D1128" s="4"/>
      <c r="E1128" s="4" t="str">
        <f>"042912010"</f>
        <v>042912010</v>
      </c>
      <c r="F1128" s="10">
        <v>40240</v>
      </c>
      <c r="G1128" s="11">
        <v>25000</v>
      </c>
      <c r="H1128" s="11">
        <v>25000</v>
      </c>
      <c r="I1128" s="4" t="s">
        <v>54</v>
      </c>
      <c r="J1128" s="4" t="s">
        <v>55</v>
      </c>
      <c r="K1128" s="11">
        <v>0</v>
      </c>
      <c r="L1128" s="4"/>
      <c r="M1128" s="4"/>
      <c r="N1128" s="11">
        <v>0</v>
      </c>
      <c r="O1128" s="4"/>
      <c r="P1128" s="4"/>
      <c r="Q1128" s="11">
        <v>0</v>
      </c>
      <c r="R1128" s="4"/>
      <c r="S1128" s="12"/>
    </row>
    <row r="1129" spans="1:19" x14ac:dyDescent="0.25">
      <c r="A1129" s="9" t="s">
        <v>433</v>
      </c>
      <c r="B1129" s="9" t="s">
        <v>433</v>
      </c>
      <c r="C1129" s="4">
        <v>201003464</v>
      </c>
      <c r="D1129" s="4"/>
      <c r="E1129" s="4" t="str">
        <f>"072352010"</f>
        <v>072352010</v>
      </c>
      <c r="F1129" s="10">
        <v>40344</v>
      </c>
      <c r="G1129" s="11">
        <v>9318.93</v>
      </c>
      <c r="H1129" s="11">
        <v>9350</v>
      </c>
      <c r="I1129" s="4" t="s">
        <v>54</v>
      </c>
      <c r="J1129" s="4" t="s">
        <v>55</v>
      </c>
      <c r="K1129" s="11">
        <v>0</v>
      </c>
      <c r="L1129" s="4"/>
      <c r="M1129" s="4"/>
      <c r="N1129" s="11">
        <v>0</v>
      </c>
      <c r="O1129" s="4"/>
      <c r="P1129" s="4"/>
      <c r="Q1129" s="11">
        <v>0</v>
      </c>
      <c r="R1129" s="4"/>
      <c r="S1129" s="12"/>
    </row>
    <row r="1130" spans="1:19" x14ac:dyDescent="0.25">
      <c r="A1130" s="9" t="s">
        <v>433</v>
      </c>
      <c r="B1130" s="9" t="s">
        <v>433</v>
      </c>
      <c r="C1130" s="4">
        <v>201003497</v>
      </c>
      <c r="D1130" s="4" t="s">
        <v>1932</v>
      </c>
      <c r="E1130" s="4" t="str">
        <f>"070352010"</f>
        <v>070352010</v>
      </c>
      <c r="F1130" s="10">
        <v>40323</v>
      </c>
      <c r="G1130" s="11">
        <v>3835</v>
      </c>
      <c r="H1130" s="11">
        <v>3835</v>
      </c>
      <c r="I1130" s="4" t="s">
        <v>366</v>
      </c>
      <c r="J1130" s="4" t="s">
        <v>367</v>
      </c>
      <c r="K1130" s="11">
        <v>0</v>
      </c>
      <c r="L1130" s="4"/>
      <c r="M1130" s="4"/>
      <c r="N1130" s="11">
        <v>0</v>
      </c>
      <c r="O1130" s="4"/>
      <c r="P1130" s="4"/>
      <c r="Q1130" s="11">
        <v>0</v>
      </c>
      <c r="R1130" s="4"/>
      <c r="S1130" s="12"/>
    </row>
    <row r="1131" spans="1:19" x14ac:dyDescent="0.25">
      <c r="A1131" s="9" t="s">
        <v>433</v>
      </c>
      <c r="B1131" s="9" t="s">
        <v>433</v>
      </c>
      <c r="C1131" s="4">
        <v>201004267</v>
      </c>
      <c r="D1131" s="4"/>
      <c r="E1131" s="4" t="str">
        <f>"084222010"</f>
        <v>084222010</v>
      </c>
      <c r="F1131" s="10">
        <v>40357</v>
      </c>
      <c r="G1131" s="11">
        <v>5071.71</v>
      </c>
      <c r="H1131" s="11">
        <v>5071.71</v>
      </c>
      <c r="I1131" s="4" t="s">
        <v>366</v>
      </c>
      <c r="J1131" s="4" t="s">
        <v>367</v>
      </c>
      <c r="K1131" s="11">
        <v>0</v>
      </c>
      <c r="L1131" s="4"/>
      <c r="M1131" s="4"/>
      <c r="N1131" s="11">
        <v>0</v>
      </c>
      <c r="O1131" s="4"/>
      <c r="P1131" s="4"/>
      <c r="Q1131" s="11">
        <v>0</v>
      </c>
      <c r="R1131" s="4"/>
      <c r="S1131" s="12"/>
    </row>
    <row r="1132" spans="1:19" x14ac:dyDescent="0.25">
      <c r="A1132" s="9" t="s">
        <v>433</v>
      </c>
      <c r="B1132" s="9" t="s">
        <v>433</v>
      </c>
      <c r="C1132" s="4">
        <v>201004879</v>
      </c>
      <c r="D1132" s="4"/>
      <c r="E1132" s="4" t="str">
        <f>"097552010"</f>
        <v>097552010</v>
      </c>
      <c r="F1132" s="10">
        <v>40394</v>
      </c>
      <c r="G1132" s="11">
        <v>7399.82</v>
      </c>
      <c r="H1132" s="11">
        <v>7399.82</v>
      </c>
      <c r="I1132" s="4" t="s">
        <v>366</v>
      </c>
      <c r="J1132" s="4" t="s">
        <v>367</v>
      </c>
      <c r="K1132" s="11">
        <v>0</v>
      </c>
      <c r="L1132" s="4"/>
      <c r="M1132" s="4"/>
      <c r="N1132" s="11">
        <v>0</v>
      </c>
      <c r="O1132" s="4"/>
      <c r="P1132" s="4"/>
      <c r="Q1132" s="11">
        <v>0</v>
      </c>
      <c r="R1132" s="4"/>
      <c r="S1132" s="12"/>
    </row>
    <row r="1133" spans="1:19" x14ac:dyDescent="0.25">
      <c r="A1133" s="9" t="s">
        <v>433</v>
      </c>
      <c r="B1133" s="9" t="s">
        <v>433</v>
      </c>
      <c r="C1133" s="4">
        <v>201005044</v>
      </c>
      <c r="D1133" s="4" t="s">
        <v>1933</v>
      </c>
      <c r="E1133" s="4" t="str">
        <f>"102992010"</f>
        <v>102992010</v>
      </c>
      <c r="F1133" s="10">
        <v>40409</v>
      </c>
      <c r="G1133" s="11">
        <v>7866.69</v>
      </c>
      <c r="H1133" s="11">
        <v>7866.69</v>
      </c>
      <c r="I1133" s="4" t="s">
        <v>366</v>
      </c>
      <c r="J1133" s="4" t="s">
        <v>367</v>
      </c>
      <c r="K1133" s="11">
        <v>0</v>
      </c>
      <c r="L1133" s="4"/>
      <c r="M1133" s="4"/>
      <c r="N1133" s="11">
        <v>0</v>
      </c>
      <c r="O1133" s="4"/>
      <c r="P1133" s="4"/>
      <c r="Q1133" s="11">
        <v>0</v>
      </c>
      <c r="R1133" s="4"/>
      <c r="S1133" s="12"/>
    </row>
    <row r="1134" spans="1:19" x14ac:dyDescent="0.25">
      <c r="A1134" s="9" t="s">
        <v>445</v>
      </c>
      <c r="B1134" s="9" t="s">
        <v>445</v>
      </c>
      <c r="C1134" s="4">
        <v>200804765</v>
      </c>
      <c r="D1134" s="4"/>
      <c r="E1134" s="4" t="str">
        <f>"037782008"</f>
        <v>037782008</v>
      </c>
      <c r="F1134" s="10">
        <v>40094</v>
      </c>
      <c r="G1134" s="11">
        <v>6897.94</v>
      </c>
      <c r="H1134" s="11">
        <v>6897.94</v>
      </c>
      <c r="I1134" s="4" t="s">
        <v>366</v>
      </c>
      <c r="J1134" s="4" t="s">
        <v>367</v>
      </c>
      <c r="K1134" s="11">
        <v>0</v>
      </c>
      <c r="L1134" s="4"/>
      <c r="M1134" s="4"/>
      <c r="N1134" s="11">
        <v>0</v>
      </c>
      <c r="O1134" s="4"/>
      <c r="P1134" s="4"/>
      <c r="Q1134" s="11">
        <v>0</v>
      </c>
      <c r="R1134" s="4"/>
      <c r="S1134" s="12"/>
    </row>
    <row r="1135" spans="1:19" x14ac:dyDescent="0.25">
      <c r="A1135" s="9" t="s">
        <v>445</v>
      </c>
      <c r="B1135" s="9" t="s">
        <v>445</v>
      </c>
      <c r="C1135" s="4">
        <v>200904142</v>
      </c>
      <c r="D1135" s="4"/>
      <c r="E1135" s="4" t="str">
        <f>"088512009"</f>
        <v>088512009</v>
      </c>
      <c r="F1135" s="10">
        <v>40185</v>
      </c>
      <c r="G1135" s="11">
        <v>8419.2800000000007</v>
      </c>
      <c r="H1135" s="11">
        <v>8419.2800000000007</v>
      </c>
      <c r="I1135" s="4" t="s">
        <v>366</v>
      </c>
      <c r="J1135" s="4" t="s">
        <v>367</v>
      </c>
      <c r="K1135" s="11">
        <v>0</v>
      </c>
      <c r="L1135" s="4"/>
      <c r="M1135" s="4"/>
      <c r="N1135" s="11">
        <v>0</v>
      </c>
      <c r="O1135" s="4"/>
      <c r="P1135" s="4"/>
      <c r="Q1135" s="11">
        <v>0</v>
      </c>
      <c r="R1135" s="4"/>
      <c r="S1135" s="12"/>
    </row>
    <row r="1136" spans="1:19" x14ac:dyDescent="0.25">
      <c r="A1136" s="9" t="s">
        <v>445</v>
      </c>
      <c r="B1136" s="9" t="s">
        <v>445</v>
      </c>
      <c r="C1136" s="4">
        <v>200905669</v>
      </c>
      <c r="D1136" s="4"/>
      <c r="E1136" s="4" t="str">
        <f>"087962009"</f>
        <v>087962009</v>
      </c>
      <c r="F1136" s="10">
        <v>40094</v>
      </c>
      <c r="G1136" s="11">
        <v>5612.83</v>
      </c>
      <c r="H1136" s="11">
        <v>5612.83</v>
      </c>
      <c r="I1136" s="4" t="s">
        <v>366</v>
      </c>
      <c r="J1136" s="4" t="s">
        <v>367</v>
      </c>
      <c r="K1136" s="11">
        <v>0</v>
      </c>
      <c r="L1136" s="4"/>
      <c r="M1136" s="4"/>
      <c r="N1136" s="11">
        <v>0</v>
      </c>
      <c r="O1136" s="4"/>
      <c r="P1136" s="4"/>
      <c r="Q1136" s="11">
        <v>0</v>
      </c>
      <c r="R1136" s="4"/>
      <c r="S1136" s="12"/>
    </row>
    <row r="1137" spans="1:19" x14ac:dyDescent="0.25">
      <c r="A1137" s="9" t="s">
        <v>445</v>
      </c>
      <c r="B1137" s="9" t="s">
        <v>291</v>
      </c>
      <c r="C1137" s="4">
        <v>200905943</v>
      </c>
      <c r="D1137" s="4" t="s">
        <v>1934</v>
      </c>
      <c r="E1137" s="4" t="str">
        <f>"086942009"</f>
        <v>086942009</v>
      </c>
      <c r="F1137" s="10">
        <v>40092</v>
      </c>
      <c r="G1137" s="11">
        <v>600000</v>
      </c>
      <c r="H1137" s="11">
        <v>600000</v>
      </c>
      <c r="I1137" s="4" t="s">
        <v>23</v>
      </c>
      <c r="J1137" s="4" t="s">
        <v>24</v>
      </c>
      <c r="K1137" s="11">
        <v>0</v>
      </c>
      <c r="L1137" s="4"/>
      <c r="M1137" s="4"/>
      <c r="N1137" s="11">
        <v>0</v>
      </c>
      <c r="O1137" s="4"/>
      <c r="P1137" s="4"/>
      <c r="Q1137" s="11">
        <v>0</v>
      </c>
      <c r="R1137" s="4"/>
      <c r="S1137" s="12"/>
    </row>
    <row r="1138" spans="1:19" x14ac:dyDescent="0.25">
      <c r="A1138" s="9" t="s">
        <v>445</v>
      </c>
      <c r="B1138" s="9" t="s">
        <v>445</v>
      </c>
      <c r="C1138" s="4">
        <v>200905948</v>
      </c>
      <c r="D1138" s="4"/>
      <c r="E1138" s="4" t="str">
        <f>"086932009"</f>
        <v>086932009</v>
      </c>
      <c r="F1138" s="10">
        <v>40092</v>
      </c>
      <c r="G1138" s="11">
        <v>4212.5200000000004</v>
      </c>
      <c r="H1138" s="11">
        <v>4212.5200000000004</v>
      </c>
      <c r="I1138" s="4" t="s">
        <v>366</v>
      </c>
      <c r="J1138" s="4" t="s">
        <v>367</v>
      </c>
      <c r="K1138" s="11">
        <v>0</v>
      </c>
      <c r="L1138" s="4"/>
      <c r="M1138" s="4"/>
      <c r="N1138" s="11">
        <v>0</v>
      </c>
      <c r="O1138" s="4"/>
      <c r="P1138" s="4"/>
      <c r="Q1138" s="11">
        <v>0</v>
      </c>
      <c r="R1138" s="4"/>
      <c r="S1138" s="12"/>
    </row>
    <row r="1139" spans="1:19" x14ac:dyDescent="0.25">
      <c r="A1139" s="9" t="s">
        <v>445</v>
      </c>
      <c r="B1139" s="9" t="s">
        <v>445</v>
      </c>
      <c r="C1139" s="4">
        <v>201000083</v>
      </c>
      <c r="D1139" s="4"/>
      <c r="E1139" s="4" t="str">
        <f>"001302010"</f>
        <v>001302010</v>
      </c>
      <c r="F1139" s="10">
        <v>40094</v>
      </c>
      <c r="G1139" s="11">
        <v>6000</v>
      </c>
      <c r="H1139" s="11">
        <v>6000</v>
      </c>
      <c r="I1139" s="4" t="s">
        <v>1752</v>
      </c>
      <c r="J1139" s="4" t="s">
        <v>1753</v>
      </c>
      <c r="K1139" s="11">
        <v>0</v>
      </c>
      <c r="L1139" s="4"/>
      <c r="M1139" s="4"/>
      <c r="N1139" s="11">
        <v>0</v>
      </c>
      <c r="O1139" s="4"/>
      <c r="P1139" s="4"/>
      <c r="Q1139" s="11">
        <v>0</v>
      </c>
      <c r="R1139" s="4"/>
      <c r="S1139" s="12"/>
    </row>
    <row r="1140" spans="1:19" x14ac:dyDescent="0.25">
      <c r="A1140" s="9" t="s">
        <v>445</v>
      </c>
      <c r="B1140" s="9" t="s">
        <v>445</v>
      </c>
      <c r="C1140" s="4">
        <v>201000097</v>
      </c>
      <c r="D1140" s="4" t="s">
        <v>1935</v>
      </c>
      <c r="E1140" s="4" t="str">
        <f>"001702010"</f>
        <v>001702010</v>
      </c>
      <c r="F1140" s="10">
        <v>40094</v>
      </c>
      <c r="G1140" s="11">
        <v>10000</v>
      </c>
      <c r="H1140" s="11">
        <v>10000</v>
      </c>
      <c r="I1140" s="4" t="s">
        <v>366</v>
      </c>
      <c r="J1140" s="4" t="s">
        <v>367</v>
      </c>
      <c r="K1140" s="11">
        <v>0</v>
      </c>
      <c r="L1140" s="4"/>
      <c r="M1140" s="4"/>
      <c r="N1140" s="11">
        <v>0</v>
      </c>
      <c r="O1140" s="4"/>
      <c r="P1140" s="4"/>
      <c r="Q1140" s="11">
        <v>0</v>
      </c>
      <c r="R1140" s="4"/>
      <c r="S1140" s="12"/>
    </row>
    <row r="1141" spans="1:19" x14ac:dyDescent="0.25">
      <c r="A1141" s="9" t="s">
        <v>445</v>
      </c>
      <c r="B1141" s="9" t="s">
        <v>445</v>
      </c>
      <c r="C1141" s="4">
        <v>201000119</v>
      </c>
      <c r="D1141" s="4"/>
      <c r="E1141" s="4" t="str">
        <f>"002222010"</f>
        <v>002222010</v>
      </c>
      <c r="F1141" s="10">
        <v>40095</v>
      </c>
      <c r="G1141" s="11">
        <v>4007.5</v>
      </c>
      <c r="H1141" s="11">
        <v>4007.5</v>
      </c>
      <c r="I1141" s="4" t="s">
        <v>54</v>
      </c>
      <c r="J1141" s="4" t="s">
        <v>55</v>
      </c>
      <c r="K1141" s="11">
        <v>0</v>
      </c>
      <c r="L1141" s="4"/>
      <c r="M1141" s="4"/>
      <c r="N1141" s="11">
        <v>0</v>
      </c>
      <c r="O1141" s="4"/>
      <c r="P1141" s="4"/>
      <c r="Q1141" s="11">
        <v>0</v>
      </c>
      <c r="R1141" s="4"/>
      <c r="S1141" s="12"/>
    </row>
    <row r="1142" spans="1:19" x14ac:dyDescent="0.25">
      <c r="A1142" s="9" t="s">
        <v>445</v>
      </c>
      <c r="B1142" s="9" t="s">
        <v>445</v>
      </c>
      <c r="C1142" s="4">
        <v>201000137</v>
      </c>
      <c r="D1142" s="4" t="s">
        <v>1936</v>
      </c>
      <c r="E1142" s="4" t="str">
        <f>"002602010"</f>
        <v>002602010</v>
      </c>
      <c r="F1142" s="10">
        <v>40100</v>
      </c>
      <c r="G1142" s="11">
        <v>190000</v>
      </c>
      <c r="H1142" s="11">
        <v>190000</v>
      </c>
      <c r="I1142" s="4" t="s">
        <v>687</v>
      </c>
      <c r="J1142" s="4" t="s">
        <v>688</v>
      </c>
      <c r="K1142" s="11">
        <v>0</v>
      </c>
      <c r="L1142" s="4"/>
      <c r="M1142" s="4"/>
      <c r="N1142" s="11">
        <v>0</v>
      </c>
      <c r="O1142" s="4"/>
      <c r="P1142" s="4"/>
      <c r="Q1142" s="11">
        <v>0</v>
      </c>
      <c r="R1142" s="4"/>
      <c r="S1142" s="12"/>
    </row>
    <row r="1143" spans="1:19" x14ac:dyDescent="0.25">
      <c r="A1143" s="9" t="s">
        <v>445</v>
      </c>
      <c r="B1143" s="9" t="s">
        <v>445</v>
      </c>
      <c r="C1143" s="4">
        <v>201000165</v>
      </c>
      <c r="D1143" s="4"/>
      <c r="E1143" s="4" t="str">
        <f>"002702010"</f>
        <v>002702010</v>
      </c>
      <c r="F1143" s="10">
        <v>40100</v>
      </c>
      <c r="G1143" s="11">
        <v>20000</v>
      </c>
      <c r="H1143" s="11">
        <v>20000</v>
      </c>
      <c r="I1143" s="4" t="s">
        <v>687</v>
      </c>
      <c r="J1143" s="4" t="s">
        <v>688</v>
      </c>
      <c r="K1143" s="11">
        <v>0</v>
      </c>
      <c r="L1143" s="4"/>
      <c r="M1143" s="4"/>
      <c r="N1143" s="11">
        <v>0</v>
      </c>
      <c r="O1143" s="4"/>
      <c r="P1143" s="4"/>
      <c r="Q1143" s="11">
        <v>0</v>
      </c>
      <c r="R1143" s="4"/>
      <c r="S1143" s="12"/>
    </row>
    <row r="1144" spans="1:19" x14ac:dyDescent="0.25">
      <c r="A1144" s="9" t="s">
        <v>445</v>
      </c>
      <c r="B1144" s="9" t="s">
        <v>445</v>
      </c>
      <c r="C1144" s="4">
        <v>201000172</v>
      </c>
      <c r="D1144" s="4"/>
      <c r="E1144" s="4" t="str">
        <f>"003542010"</f>
        <v>003542010</v>
      </c>
      <c r="F1144" s="10">
        <v>40120</v>
      </c>
      <c r="G1144" s="11">
        <v>77360.2</v>
      </c>
      <c r="H1144" s="11">
        <v>78661.64</v>
      </c>
      <c r="I1144" s="4" t="s">
        <v>1937</v>
      </c>
      <c r="J1144" s="4" t="s">
        <v>1938</v>
      </c>
      <c r="K1144" s="11">
        <v>0</v>
      </c>
      <c r="L1144" s="4"/>
      <c r="M1144" s="4"/>
      <c r="N1144" s="11">
        <v>0</v>
      </c>
      <c r="O1144" s="4"/>
      <c r="P1144" s="4"/>
      <c r="Q1144" s="11">
        <v>0</v>
      </c>
      <c r="R1144" s="4"/>
      <c r="S1144" s="12"/>
    </row>
    <row r="1145" spans="1:19" x14ac:dyDescent="0.25">
      <c r="A1145" s="9" t="s">
        <v>445</v>
      </c>
      <c r="B1145" s="9" t="s">
        <v>445</v>
      </c>
      <c r="C1145" s="4">
        <v>201000179</v>
      </c>
      <c r="D1145" s="4"/>
      <c r="E1145" s="4" t="str">
        <f>"042052010"</f>
        <v>042052010</v>
      </c>
      <c r="F1145" s="10">
        <v>40240</v>
      </c>
      <c r="G1145" s="11">
        <v>2593.21</v>
      </c>
      <c r="H1145" s="11">
        <v>2593.21</v>
      </c>
      <c r="I1145" s="4" t="s">
        <v>366</v>
      </c>
      <c r="J1145" s="4" t="s">
        <v>367</v>
      </c>
      <c r="K1145" s="11">
        <v>0</v>
      </c>
      <c r="L1145" s="4"/>
      <c r="M1145" s="4"/>
      <c r="N1145" s="11">
        <v>0</v>
      </c>
      <c r="O1145" s="4"/>
      <c r="P1145" s="4"/>
      <c r="Q1145" s="11">
        <v>0</v>
      </c>
      <c r="R1145" s="4"/>
      <c r="S1145" s="12"/>
    </row>
    <row r="1146" spans="1:19" x14ac:dyDescent="0.25">
      <c r="A1146" s="9" t="s">
        <v>445</v>
      </c>
      <c r="B1146" s="9" t="s">
        <v>291</v>
      </c>
      <c r="C1146" s="4">
        <v>201000187</v>
      </c>
      <c r="D1146" s="4" t="s">
        <v>1939</v>
      </c>
      <c r="E1146" s="4" t="str">
        <f>"003302010"</f>
        <v>003302010</v>
      </c>
      <c r="F1146" s="10">
        <v>40101</v>
      </c>
      <c r="G1146" s="11">
        <v>371000</v>
      </c>
      <c r="H1146" s="11">
        <v>371000</v>
      </c>
      <c r="I1146" s="4" t="s">
        <v>54</v>
      </c>
      <c r="J1146" s="4" t="s">
        <v>55</v>
      </c>
      <c r="K1146" s="11">
        <v>0</v>
      </c>
      <c r="L1146" s="4"/>
      <c r="M1146" s="4"/>
      <c r="N1146" s="11">
        <v>0</v>
      </c>
      <c r="O1146" s="4"/>
      <c r="P1146" s="4"/>
      <c r="Q1146" s="11">
        <v>0</v>
      </c>
      <c r="R1146" s="4"/>
      <c r="S1146" s="12"/>
    </row>
    <row r="1147" spans="1:19" x14ac:dyDescent="0.25">
      <c r="A1147" s="9" t="s">
        <v>445</v>
      </c>
      <c r="B1147" s="9" t="s">
        <v>445</v>
      </c>
      <c r="C1147" s="4">
        <v>201000200</v>
      </c>
      <c r="D1147" s="4"/>
      <c r="E1147" s="4" t="str">
        <f>"003402010"</f>
        <v>003402010</v>
      </c>
      <c r="F1147" s="10">
        <v>40101</v>
      </c>
      <c r="G1147" s="11">
        <v>4708.9399999999996</v>
      </c>
      <c r="H1147" s="11">
        <v>4708.9399999999996</v>
      </c>
      <c r="I1147" s="4" t="s">
        <v>366</v>
      </c>
      <c r="J1147" s="4" t="s">
        <v>367</v>
      </c>
      <c r="K1147" s="11">
        <v>0</v>
      </c>
      <c r="L1147" s="4"/>
      <c r="M1147" s="4"/>
      <c r="N1147" s="11">
        <v>0</v>
      </c>
      <c r="O1147" s="4"/>
      <c r="P1147" s="4"/>
      <c r="Q1147" s="11">
        <v>0</v>
      </c>
      <c r="R1147" s="4"/>
      <c r="S1147" s="12"/>
    </row>
    <row r="1148" spans="1:19" x14ac:dyDescent="0.25">
      <c r="A1148" s="9" t="s">
        <v>445</v>
      </c>
      <c r="B1148" s="9" t="s">
        <v>445</v>
      </c>
      <c r="C1148" s="4">
        <v>201000239</v>
      </c>
      <c r="D1148" s="4"/>
      <c r="E1148" s="4" t="str">
        <f>"004162010"</f>
        <v>004162010</v>
      </c>
      <c r="F1148" s="10">
        <v>40105</v>
      </c>
      <c r="G1148" s="11">
        <v>3265.85</v>
      </c>
      <c r="H1148" s="11">
        <v>3265.85</v>
      </c>
      <c r="I1148" s="4" t="s">
        <v>366</v>
      </c>
      <c r="J1148" s="4" t="s">
        <v>367</v>
      </c>
      <c r="K1148" s="11">
        <v>0</v>
      </c>
      <c r="L1148" s="4"/>
      <c r="M1148" s="4"/>
      <c r="N1148" s="11">
        <v>0</v>
      </c>
      <c r="O1148" s="4"/>
      <c r="P1148" s="4"/>
      <c r="Q1148" s="11">
        <v>0</v>
      </c>
      <c r="R1148" s="4"/>
      <c r="S1148" s="12"/>
    </row>
    <row r="1149" spans="1:19" x14ac:dyDescent="0.25">
      <c r="A1149" s="9" t="s">
        <v>445</v>
      </c>
      <c r="B1149" s="9" t="s">
        <v>445</v>
      </c>
      <c r="C1149" s="4">
        <v>201000307</v>
      </c>
      <c r="D1149" s="4"/>
      <c r="E1149" s="4" t="str">
        <f>"005672010"</f>
        <v>005672010</v>
      </c>
      <c r="F1149" s="10">
        <v>40109</v>
      </c>
      <c r="G1149" s="11">
        <v>2949.65</v>
      </c>
      <c r="H1149" s="11">
        <v>2949.65</v>
      </c>
      <c r="I1149" s="4" t="s">
        <v>366</v>
      </c>
      <c r="J1149" s="4" t="s">
        <v>367</v>
      </c>
      <c r="K1149" s="11">
        <v>0</v>
      </c>
      <c r="L1149" s="4"/>
      <c r="M1149" s="4"/>
      <c r="N1149" s="11">
        <v>0</v>
      </c>
      <c r="O1149" s="4"/>
      <c r="P1149" s="4"/>
      <c r="Q1149" s="11">
        <v>0</v>
      </c>
      <c r="R1149" s="4"/>
      <c r="S1149" s="12"/>
    </row>
    <row r="1150" spans="1:19" x14ac:dyDescent="0.25">
      <c r="A1150" s="9" t="s">
        <v>445</v>
      </c>
      <c r="B1150" s="9" t="s">
        <v>445</v>
      </c>
      <c r="C1150" s="4">
        <v>201000326</v>
      </c>
      <c r="D1150" s="4" t="s">
        <v>1940</v>
      </c>
      <c r="E1150" s="4" t="str">
        <f>"019572010"</f>
        <v>019572010</v>
      </c>
      <c r="F1150" s="10">
        <v>40157</v>
      </c>
      <c r="G1150" s="11">
        <v>17500</v>
      </c>
      <c r="H1150" s="11">
        <v>17500</v>
      </c>
      <c r="I1150" s="4" t="s">
        <v>366</v>
      </c>
      <c r="J1150" s="4" t="s">
        <v>367</v>
      </c>
      <c r="K1150" s="11">
        <v>0</v>
      </c>
      <c r="L1150" s="4"/>
      <c r="M1150" s="4"/>
      <c r="N1150" s="11">
        <v>0</v>
      </c>
      <c r="O1150" s="4"/>
      <c r="P1150" s="4"/>
      <c r="Q1150" s="11">
        <v>0</v>
      </c>
      <c r="R1150" s="4"/>
      <c r="S1150" s="12"/>
    </row>
    <row r="1151" spans="1:19" x14ac:dyDescent="0.25">
      <c r="A1151" s="9" t="s">
        <v>445</v>
      </c>
      <c r="B1151" s="9" t="s">
        <v>445</v>
      </c>
      <c r="C1151" s="4">
        <v>201000329</v>
      </c>
      <c r="D1151" s="4"/>
      <c r="E1151" s="4" t="str">
        <f>"013482010"</f>
        <v>013482010</v>
      </c>
      <c r="F1151" s="10">
        <v>40137</v>
      </c>
      <c r="G1151" s="11">
        <v>7605.55</v>
      </c>
      <c r="H1151" s="11">
        <v>7605.55</v>
      </c>
      <c r="I1151" s="4" t="s">
        <v>366</v>
      </c>
      <c r="J1151" s="4" t="s">
        <v>367</v>
      </c>
      <c r="K1151" s="11">
        <v>0</v>
      </c>
      <c r="L1151" s="4"/>
      <c r="M1151" s="4"/>
      <c r="N1151" s="11">
        <v>0</v>
      </c>
      <c r="O1151" s="4"/>
      <c r="P1151" s="4"/>
      <c r="Q1151" s="11">
        <v>0</v>
      </c>
      <c r="R1151" s="4"/>
      <c r="S1151" s="12"/>
    </row>
    <row r="1152" spans="1:19" x14ac:dyDescent="0.25">
      <c r="A1152" s="9" t="s">
        <v>445</v>
      </c>
      <c r="B1152" s="9" t="s">
        <v>445</v>
      </c>
      <c r="C1152" s="4">
        <v>201000332</v>
      </c>
      <c r="D1152" s="4"/>
      <c r="E1152" s="4" t="str">
        <f>"006072010"</f>
        <v>006072010</v>
      </c>
      <c r="F1152" s="10">
        <v>40112</v>
      </c>
      <c r="G1152" s="11">
        <v>2840.12</v>
      </c>
      <c r="H1152" s="11">
        <v>2840.12</v>
      </c>
      <c r="I1152" s="4" t="s">
        <v>366</v>
      </c>
      <c r="J1152" s="4" t="s">
        <v>367</v>
      </c>
      <c r="K1152" s="11">
        <v>0</v>
      </c>
      <c r="L1152" s="4"/>
      <c r="M1152" s="4"/>
      <c r="N1152" s="11">
        <v>0</v>
      </c>
      <c r="O1152" s="4"/>
      <c r="P1152" s="4"/>
      <c r="Q1152" s="11">
        <v>0</v>
      </c>
      <c r="R1152" s="4"/>
      <c r="S1152" s="12"/>
    </row>
    <row r="1153" spans="1:19" x14ac:dyDescent="0.25">
      <c r="A1153" s="9" t="s">
        <v>445</v>
      </c>
      <c r="B1153" s="9" t="s">
        <v>445</v>
      </c>
      <c r="C1153" s="4">
        <v>201000342</v>
      </c>
      <c r="D1153" s="4"/>
      <c r="E1153" s="4" t="str">
        <f>"006292010"</f>
        <v>006292010</v>
      </c>
      <c r="F1153" s="10">
        <v>40112</v>
      </c>
      <c r="G1153" s="11">
        <v>21249.8</v>
      </c>
      <c r="H1153" s="11">
        <v>21249.8</v>
      </c>
      <c r="I1153" s="4" t="s">
        <v>366</v>
      </c>
      <c r="J1153" s="4" t="s">
        <v>367</v>
      </c>
      <c r="K1153" s="11">
        <v>0</v>
      </c>
      <c r="L1153" s="4"/>
      <c r="M1153" s="4"/>
      <c r="N1153" s="11">
        <v>0</v>
      </c>
      <c r="O1153" s="4"/>
      <c r="P1153" s="4"/>
      <c r="Q1153" s="11">
        <v>0</v>
      </c>
      <c r="R1153" s="4"/>
      <c r="S1153" s="12"/>
    </row>
    <row r="1154" spans="1:19" x14ac:dyDescent="0.25">
      <c r="A1154" s="9" t="s">
        <v>445</v>
      </c>
      <c r="B1154" s="9" t="s">
        <v>445</v>
      </c>
      <c r="C1154" s="4">
        <v>201000343</v>
      </c>
      <c r="D1154" s="4" t="s">
        <v>1941</v>
      </c>
      <c r="E1154" s="4" t="str">
        <f>"006272010"</f>
        <v>006272010</v>
      </c>
      <c r="F1154" s="10">
        <v>40112</v>
      </c>
      <c r="G1154" s="11">
        <v>18000</v>
      </c>
      <c r="H1154" s="11">
        <v>18000</v>
      </c>
      <c r="I1154" s="4" t="s">
        <v>366</v>
      </c>
      <c r="J1154" s="4" t="s">
        <v>367</v>
      </c>
      <c r="K1154" s="11">
        <v>0</v>
      </c>
      <c r="L1154" s="4"/>
      <c r="M1154" s="4"/>
      <c r="N1154" s="11">
        <v>0</v>
      </c>
      <c r="O1154" s="4"/>
      <c r="P1154" s="4"/>
      <c r="Q1154" s="11">
        <v>0</v>
      </c>
      <c r="R1154" s="4"/>
      <c r="S1154" s="12"/>
    </row>
    <row r="1155" spans="1:19" x14ac:dyDescent="0.25">
      <c r="A1155" s="9" t="s">
        <v>445</v>
      </c>
      <c r="B1155" s="9" t="s">
        <v>445</v>
      </c>
      <c r="C1155" s="4">
        <v>201000357</v>
      </c>
      <c r="D1155" s="4" t="s">
        <v>527</v>
      </c>
      <c r="E1155" s="4" t="str">
        <f>"006592010"</f>
        <v>006592010</v>
      </c>
      <c r="F1155" s="10">
        <v>40115</v>
      </c>
      <c r="G1155" s="11">
        <v>215000</v>
      </c>
      <c r="H1155" s="11">
        <v>215000</v>
      </c>
      <c r="I1155" s="4" t="s">
        <v>687</v>
      </c>
      <c r="J1155" s="4" t="s">
        <v>688</v>
      </c>
      <c r="K1155" s="11">
        <v>0</v>
      </c>
      <c r="L1155" s="4"/>
      <c r="M1155" s="4"/>
      <c r="N1155" s="11">
        <v>0</v>
      </c>
      <c r="O1155" s="4"/>
      <c r="P1155" s="4"/>
      <c r="Q1155" s="11">
        <v>0</v>
      </c>
      <c r="R1155" s="4"/>
      <c r="S1155" s="12"/>
    </row>
    <row r="1156" spans="1:19" x14ac:dyDescent="0.25">
      <c r="A1156" s="9" t="s">
        <v>445</v>
      </c>
      <c r="B1156" s="9" t="s">
        <v>445</v>
      </c>
      <c r="C1156" s="4">
        <v>201000392</v>
      </c>
      <c r="D1156" s="4" t="s">
        <v>1942</v>
      </c>
      <c r="E1156" s="4" t="str">
        <f>"007352010"</f>
        <v>007352010</v>
      </c>
      <c r="F1156" s="10">
        <v>40115</v>
      </c>
      <c r="G1156" s="11">
        <v>3600</v>
      </c>
      <c r="H1156" s="11">
        <v>3600</v>
      </c>
      <c r="I1156" s="4" t="s">
        <v>366</v>
      </c>
      <c r="J1156" s="4" t="s">
        <v>367</v>
      </c>
      <c r="K1156" s="11">
        <v>0</v>
      </c>
      <c r="L1156" s="4"/>
      <c r="M1156" s="4"/>
      <c r="N1156" s="11">
        <v>0</v>
      </c>
      <c r="O1156" s="4"/>
      <c r="P1156" s="4"/>
      <c r="Q1156" s="11">
        <v>0</v>
      </c>
      <c r="R1156" s="4"/>
      <c r="S1156" s="12"/>
    </row>
    <row r="1157" spans="1:19" x14ac:dyDescent="0.25">
      <c r="A1157" s="9" t="s">
        <v>445</v>
      </c>
      <c r="B1157" s="9" t="s">
        <v>445</v>
      </c>
      <c r="C1157" s="4">
        <v>201000397</v>
      </c>
      <c r="D1157" s="4" t="s">
        <v>1943</v>
      </c>
      <c r="E1157" s="4" t="str">
        <f>"007412010"</f>
        <v>007412010</v>
      </c>
      <c r="F1157" s="10">
        <v>40115</v>
      </c>
      <c r="G1157" s="11">
        <v>65000</v>
      </c>
      <c r="H1157" s="11">
        <v>65000</v>
      </c>
      <c r="I1157" s="4" t="s">
        <v>687</v>
      </c>
      <c r="J1157" s="4" t="s">
        <v>688</v>
      </c>
      <c r="K1157" s="11">
        <v>0</v>
      </c>
      <c r="L1157" s="4"/>
      <c r="M1157" s="4"/>
      <c r="N1157" s="11">
        <v>0</v>
      </c>
      <c r="O1157" s="4"/>
      <c r="P1157" s="4"/>
      <c r="Q1157" s="11">
        <v>0</v>
      </c>
      <c r="R1157" s="4"/>
      <c r="S1157" s="12"/>
    </row>
    <row r="1158" spans="1:19" x14ac:dyDescent="0.25">
      <c r="A1158" s="9" t="s">
        <v>445</v>
      </c>
      <c r="B1158" s="9" t="s">
        <v>445</v>
      </c>
      <c r="C1158" s="4">
        <v>201000411</v>
      </c>
      <c r="D1158" s="4"/>
      <c r="E1158" s="4" t="str">
        <f>"008972010"</f>
        <v>008972010</v>
      </c>
      <c r="F1158" s="10">
        <v>40122</v>
      </c>
      <c r="G1158" s="11">
        <v>2963.49</v>
      </c>
      <c r="H1158" s="11">
        <v>2963.49</v>
      </c>
      <c r="I1158" s="4" t="s">
        <v>366</v>
      </c>
      <c r="J1158" s="4" t="s">
        <v>367</v>
      </c>
      <c r="K1158" s="11">
        <v>0</v>
      </c>
      <c r="L1158" s="4"/>
      <c r="M1158" s="4"/>
      <c r="N1158" s="11">
        <v>0</v>
      </c>
      <c r="O1158" s="4"/>
      <c r="P1158" s="4"/>
      <c r="Q1158" s="11">
        <v>0</v>
      </c>
      <c r="R1158" s="4"/>
      <c r="S1158" s="12"/>
    </row>
    <row r="1159" spans="1:19" x14ac:dyDescent="0.25">
      <c r="A1159" s="9" t="s">
        <v>445</v>
      </c>
      <c r="B1159" s="9" t="s">
        <v>445</v>
      </c>
      <c r="C1159" s="4">
        <v>201000504</v>
      </c>
      <c r="D1159" s="4" t="s">
        <v>1944</v>
      </c>
      <c r="E1159" s="4" t="str">
        <f>"009392010"</f>
        <v>009392010</v>
      </c>
      <c r="F1159" s="10">
        <v>40122</v>
      </c>
      <c r="G1159" s="11">
        <v>110000</v>
      </c>
      <c r="H1159" s="11">
        <v>110000</v>
      </c>
      <c r="I1159" s="4" t="s">
        <v>687</v>
      </c>
      <c r="J1159" s="4" t="s">
        <v>688</v>
      </c>
      <c r="K1159" s="11">
        <v>0</v>
      </c>
      <c r="L1159" s="4"/>
      <c r="M1159" s="4"/>
      <c r="N1159" s="11">
        <v>0</v>
      </c>
      <c r="O1159" s="4"/>
      <c r="P1159" s="4"/>
      <c r="Q1159" s="11">
        <v>0</v>
      </c>
      <c r="R1159" s="4"/>
      <c r="S1159" s="12"/>
    </row>
    <row r="1160" spans="1:19" x14ac:dyDescent="0.25">
      <c r="A1160" s="9" t="s">
        <v>445</v>
      </c>
      <c r="B1160" s="9" t="s">
        <v>445</v>
      </c>
      <c r="C1160" s="4">
        <v>201000506</v>
      </c>
      <c r="D1160" s="4" t="s">
        <v>1945</v>
      </c>
      <c r="E1160" s="4" t="str">
        <f>"009352010"</f>
        <v>009352010</v>
      </c>
      <c r="F1160" s="10">
        <v>40122</v>
      </c>
      <c r="G1160" s="11">
        <v>20000</v>
      </c>
      <c r="H1160" s="11">
        <v>20000</v>
      </c>
      <c r="I1160" s="4" t="s">
        <v>687</v>
      </c>
      <c r="J1160" s="4" t="s">
        <v>688</v>
      </c>
      <c r="K1160" s="11">
        <v>0</v>
      </c>
      <c r="L1160" s="4"/>
      <c r="M1160" s="4"/>
      <c r="N1160" s="11">
        <v>0</v>
      </c>
      <c r="O1160" s="4"/>
      <c r="P1160" s="4"/>
      <c r="Q1160" s="11">
        <v>0</v>
      </c>
      <c r="R1160" s="4"/>
      <c r="S1160" s="12"/>
    </row>
    <row r="1161" spans="1:19" x14ac:dyDescent="0.25">
      <c r="A1161" s="9" t="s">
        <v>445</v>
      </c>
      <c r="B1161" s="9" t="s">
        <v>445</v>
      </c>
      <c r="C1161" s="4">
        <v>201000557</v>
      </c>
      <c r="D1161" s="4"/>
      <c r="E1161" s="4" t="str">
        <f>"010152010"</f>
        <v>010152010</v>
      </c>
      <c r="F1161" s="10">
        <v>40123</v>
      </c>
      <c r="G1161" s="11">
        <v>4940.8500000000004</v>
      </c>
      <c r="H1161" s="11">
        <v>4940.8500000000004</v>
      </c>
      <c r="I1161" s="4" t="s">
        <v>366</v>
      </c>
      <c r="J1161" s="4" t="s">
        <v>367</v>
      </c>
      <c r="K1161" s="11">
        <v>0</v>
      </c>
      <c r="L1161" s="4"/>
      <c r="M1161" s="4"/>
      <c r="N1161" s="11">
        <v>0</v>
      </c>
      <c r="O1161" s="4"/>
      <c r="P1161" s="4"/>
      <c r="Q1161" s="11">
        <v>0</v>
      </c>
      <c r="R1161" s="4"/>
      <c r="S1161" s="12"/>
    </row>
    <row r="1162" spans="1:19" x14ac:dyDescent="0.25">
      <c r="A1162" s="9" t="s">
        <v>445</v>
      </c>
      <c r="B1162" s="9" t="s">
        <v>445</v>
      </c>
      <c r="C1162" s="4">
        <v>201000586</v>
      </c>
      <c r="D1162" s="4"/>
      <c r="E1162" s="4" t="str">
        <f>"018322010"</f>
        <v>018322010</v>
      </c>
      <c r="F1162" s="10">
        <v>40151</v>
      </c>
      <c r="G1162" s="11">
        <v>3030.94</v>
      </c>
      <c r="H1162" s="11">
        <v>3030.94</v>
      </c>
      <c r="I1162" s="4" t="s">
        <v>366</v>
      </c>
      <c r="J1162" s="4" t="s">
        <v>367</v>
      </c>
      <c r="K1162" s="11">
        <v>0</v>
      </c>
      <c r="L1162" s="4"/>
      <c r="M1162" s="4"/>
      <c r="N1162" s="11">
        <v>0</v>
      </c>
      <c r="O1162" s="4"/>
      <c r="P1162" s="4"/>
      <c r="Q1162" s="11">
        <v>0</v>
      </c>
      <c r="R1162" s="4"/>
      <c r="S1162" s="12"/>
    </row>
    <row r="1163" spans="1:19" x14ac:dyDescent="0.25">
      <c r="A1163" s="9" t="s">
        <v>445</v>
      </c>
      <c r="B1163" s="9" t="s">
        <v>445</v>
      </c>
      <c r="C1163" s="4">
        <v>201000689</v>
      </c>
      <c r="D1163" s="4" t="s">
        <v>1946</v>
      </c>
      <c r="E1163" s="4" t="str">
        <f>"012852010"</f>
        <v>012852010</v>
      </c>
      <c r="F1163" s="10">
        <v>40136</v>
      </c>
      <c r="G1163" s="11">
        <v>5200</v>
      </c>
      <c r="H1163" s="11">
        <v>5200</v>
      </c>
      <c r="I1163" s="4" t="s">
        <v>366</v>
      </c>
      <c r="J1163" s="4" t="s">
        <v>367</v>
      </c>
      <c r="K1163" s="11">
        <v>0</v>
      </c>
      <c r="L1163" s="4"/>
      <c r="M1163" s="4"/>
      <c r="N1163" s="11">
        <v>0</v>
      </c>
      <c r="O1163" s="4"/>
      <c r="P1163" s="4"/>
      <c r="Q1163" s="11">
        <v>0</v>
      </c>
      <c r="R1163" s="4"/>
      <c r="S1163" s="12"/>
    </row>
    <row r="1164" spans="1:19" x14ac:dyDescent="0.25">
      <c r="A1164" s="9" t="s">
        <v>445</v>
      </c>
      <c r="B1164" s="9" t="s">
        <v>445</v>
      </c>
      <c r="C1164" s="4">
        <v>201000692</v>
      </c>
      <c r="D1164" s="4" t="s">
        <v>1947</v>
      </c>
      <c r="E1164" s="4" t="str">
        <f>"013312010"</f>
        <v>013312010</v>
      </c>
      <c r="F1164" s="10">
        <v>40137</v>
      </c>
      <c r="G1164" s="11">
        <v>15000</v>
      </c>
      <c r="H1164" s="11">
        <v>15000</v>
      </c>
      <c r="I1164" s="4" t="s">
        <v>366</v>
      </c>
      <c r="J1164" s="4" t="s">
        <v>367</v>
      </c>
      <c r="K1164" s="11">
        <v>0</v>
      </c>
      <c r="L1164" s="4"/>
      <c r="M1164" s="4"/>
      <c r="N1164" s="11">
        <v>0</v>
      </c>
      <c r="O1164" s="4"/>
      <c r="P1164" s="4"/>
      <c r="Q1164" s="11">
        <v>0</v>
      </c>
      <c r="R1164" s="4"/>
      <c r="S1164" s="12"/>
    </row>
    <row r="1165" spans="1:19" x14ac:dyDescent="0.25">
      <c r="A1165" s="9" t="s">
        <v>445</v>
      </c>
      <c r="B1165" s="9" t="s">
        <v>445</v>
      </c>
      <c r="C1165" s="4">
        <v>201000706</v>
      </c>
      <c r="D1165" s="4"/>
      <c r="E1165" s="4" t="str">
        <f>"018252010"</f>
        <v>018252010</v>
      </c>
      <c r="F1165" s="10">
        <v>40151</v>
      </c>
      <c r="G1165" s="11">
        <v>3436.03</v>
      </c>
      <c r="H1165" s="11">
        <v>3436.03</v>
      </c>
      <c r="I1165" s="4" t="s">
        <v>366</v>
      </c>
      <c r="J1165" s="4" t="s">
        <v>367</v>
      </c>
      <c r="K1165" s="11">
        <v>0</v>
      </c>
      <c r="L1165" s="4"/>
      <c r="M1165" s="4"/>
      <c r="N1165" s="11">
        <v>0</v>
      </c>
      <c r="O1165" s="4"/>
      <c r="P1165" s="4"/>
      <c r="Q1165" s="11">
        <v>0</v>
      </c>
      <c r="R1165" s="4"/>
      <c r="S1165" s="12"/>
    </row>
    <row r="1166" spans="1:19" x14ac:dyDescent="0.25">
      <c r="A1166" s="9" t="s">
        <v>445</v>
      </c>
      <c r="B1166" s="9" t="s">
        <v>445</v>
      </c>
      <c r="C1166" s="4">
        <v>201000713</v>
      </c>
      <c r="D1166" s="4"/>
      <c r="E1166" s="4" t="str">
        <f>"013152010"</f>
        <v>013152010</v>
      </c>
      <c r="F1166" s="10">
        <v>40137</v>
      </c>
      <c r="G1166" s="11">
        <v>7638.44</v>
      </c>
      <c r="H1166" s="11">
        <v>7638.44</v>
      </c>
      <c r="I1166" s="4" t="s">
        <v>366</v>
      </c>
      <c r="J1166" s="4" t="s">
        <v>367</v>
      </c>
      <c r="K1166" s="11">
        <v>0</v>
      </c>
      <c r="L1166" s="4"/>
      <c r="M1166" s="4"/>
      <c r="N1166" s="11">
        <v>0</v>
      </c>
      <c r="O1166" s="4"/>
      <c r="P1166" s="4"/>
      <c r="Q1166" s="11">
        <v>0</v>
      </c>
      <c r="R1166" s="4"/>
      <c r="S1166" s="12"/>
    </row>
    <row r="1167" spans="1:19" x14ac:dyDescent="0.25">
      <c r="A1167" s="9" t="s">
        <v>445</v>
      </c>
      <c r="B1167" s="9" t="s">
        <v>445</v>
      </c>
      <c r="C1167" s="4">
        <v>201000714</v>
      </c>
      <c r="D1167" s="4"/>
      <c r="E1167" s="4" t="str">
        <f>"013172010"</f>
        <v>013172010</v>
      </c>
      <c r="F1167" s="10">
        <v>40137</v>
      </c>
      <c r="G1167" s="11">
        <v>9470</v>
      </c>
      <c r="H1167" s="11">
        <v>9470</v>
      </c>
      <c r="I1167" s="4" t="s">
        <v>366</v>
      </c>
      <c r="J1167" s="4" t="s">
        <v>367</v>
      </c>
      <c r="K1167" s="11">
        <v>0</v>
      </c>
      <c r="L1167" s="4"/>
      <c r="M1167" s="4"/>
      <c r="N1167" s="11">
        <v>0</v>
      </c>
      <c r="O1167" s="4"/>
      <c r="P1167" s="4"/>
      <c r="Q1167" s="11">
        <v>0</v>
      </c>
      <c r="R1167" s="4"/>
      <c r="S1167" s="12"/>
    </row>
    <row r="1168" spans="1:19" x14ac:dyDescent="0.25">
      <c r="A1168" s="9" t="s">
        <v>445</v>
      </c>
      <c r="B1168" s="9" t="s">
        <v>445</v>
      </c>
      <c r="C1168" s="4">
        <v>201000718</v>
      </c>
      <c r="D1168" s="4"/>
      <c r="E1168" s="4" t="str">
        <f>"013232010"</f>
        <v>013232010</v>
      </c>
      <c r="F1168" s="10">
        <v>40137</v>
      </c>
      <c r="G1168" s="11">
        <v>5266</v>
      </c>
      <c r="H1168" s="11">
        <v>5266</v>
      </c>
      <c r="I1168" s="4" t="s">
        <v>366</v>
      </c>
      <c r="J1168" s="4" t="s">
        <v>367</v>
      </c>
      <c r="K1168" s="11">
        <v>0</v>
      </c>
      <c r="L1168" s="4"/>
      <c r="M1168" s="4"/>
      <c r="N1168" s="11">
        <v>0</v>
      </c>
      <c r="O1168" s="4"/>
      <c r="P1168" s="4"/>
      <c r="Q1168" s="11">
        <v>0</v>
      </c>
      <c r="R1168" s="4"/>
      <c r="S1168" s="12"/>
    </row>
    <row r="1169" spans="1:19" x14ac:dyDescent="0.25">
      <c r="A1169" s="9" t="s">
        <v>445</v>
      </c>
      <c r="B1169" s="9" t="s">
        <v>445</v>
      </c>
      <c r="C1169" s="4">
        <v>201000746</v>
      </c>
      <c r="D1169" s="4"/>
      <c r="E1169" s="4" t="str">
        <f>"015582010"</f>
        <v>015582010</v>
      </c>
      <c r="F1169" s="10">
        <v>40142</v>
      </c>
      <c r="G1169" s="11">
        <v>3477.51</v>
      </c>
      <c r="H1169" s="11">
        <v>3477.51</v>
      </c>
      <c r="I1169" s="4" t="s">
        <v>366</v>
      </c>
      <c r="J1169" s="4" t="s">
        <v>367</v>
      </c>
      <c r="K1169" s="11">
        <v>0</v>
      </c>
      <c r="L1169" s="4"/>
      <c r="M1169" s="4"/>
      <c r="N1169" s="11">
        <v>0</v>
      </c>
      <c r="O1169" s="4"/>
      <c r="P1169" s="4"/>
      <c r="Q1169" s="11">
        <v>0</v>
      </c>
      <c r="R1169" s="4"/>
      <c r="S1169" s="12"/>
    </row>
    <row r="1170" spans="1:19" x14ac:dyDescent="0.25">
      <c r="A1170" s="9" t="s">
        <v>445</v>
      </c>
      <c r="B1170" s="9" t="s">
        <v>445</v>
      </c>
      <c r="C1170" s="4">
        <v>201000803</v>
      </c>
      <c r="D1170" s="4"/>
      <c r="E1170" s="4" t="str">
        <f>"015462010"</f>
        <v>015462010</v>
      </c>
      <c r="F1170" s="10">
        <v>40142</v>
      </c>
      <c r="G1170" s="11">
        <v>8840.2199999999993</v>
      </c>
      <c r="H1170" s="11">
        <v>8840.2199999999993</v>
      </c>
      <c r="I1170" s="4" t="s">
        <v>366</v>
      </c>
      <c r="J1170" s="4" t="s">
        <v>367</v>
      </c>
      <c r="K1170" s="11">
        <v>0</v>
      </c>
      <c r="L1170" s="4"/>
      <c r="M1170" s="4"/>
      <c r="N1170" s="11">
        <v>0</v>
      </c>
      <c r="O1170" s="4"/>
      <c r="P1170" s="4"/>
      <c r="Q1170" s="11">
        <v>0</v>
      </c>
      <c r="R1170" s="4"/>
      <c r="S1170" s="12"/>
    </row>
    <row r="1171" spans="1:19" x14ac:dyDescent="0.25">
      <c r="A1171" s="9" t="s">
        <v>445</v>
      </c>
      <c r="B1171" s="9" t="s">
        <v>445</v>
      </c>
      <c r="C1171" s="4">
        <v>201000811</v>
      </c>
      <c r="D1171" s="4"/>
      <c r="E1171" s="4" t="str">
        <f>"015602010"</f>
        <v>015602010</v>
      </c>
      <c r="F1171" s="10">
        <v>40142</v>
      </c>
      <c r="G1171" s="11">
        <v>3800</v>
      </c>
      <c r="H1171" s="11">
        <v>3800</v>
      </c>
      <c r="I1171" s="4" t="s">
        <v>1752</v>
      </c>
      <c r="J1171" s="4" t="s">
        <v>1753</v>
      </c>
      <c r="K1171" s="11">
        <v>0</v>
      </c>
      <c r="L1171" s="4"/>
      <c r="M1171" s="4"/>
      <c r="N1171" s="11">
        <v>0</v>
      </c>
      <c r="O1171" s="4"/>
      <c r="P1171" s="4"/>
      <c r="Q1171" s="11">
        <v>0</v>
      </c>
      <c r="R1171" s="4"/>
      <c r="S1171" s="12"/>
    </row>
    <row r="1172" spans="1:19" x14ac:dyDescent="0.25">
      <c r="A1172" s="9" t="s">
        <v>445</v>
      </c>
      <c r="B1172" s="9" t="s">
        <v>445</v>
      </c>
      <c r="C1172" s="4">
        <v>201000812</v>
      </c>
      <c r="D1172" s="4" t="s">
        <v>1948</v>
      </c>
      <c r="E1172" s="4" t="str">
        <f>"015682010"</f>
        <v>015682010</v>
      </c>
      <c r="F1172" s="10">
        <v>40142</v>
      </c>
      <c r="G1172" s="11">
        <v>7282</v>
      </c>
      <c r="H1172" s="11">
        <v>7282</v>
      </c>
      <c r="I1172" s="4" t="s">
        <v>366</v>
      </c>
      <c r="J1172" s="4" t="s">
        <v>367</v>
      </c>
      <c r="K1172" s="11">
        <v>0</v>
      </c>
      <c r="L1172" s="4"/>
      <c r="M1172" s="4"/>
      <c r="N1172" s="11">
        <v>0</v>
      </c>
      <c r="O1172" s="4"/>
      <c r="P1172" s="4"/>
      <c r="Q1172" s="11">
        <v>0</v>
      </c>
      <c r="R1172" s="4"/>
      <c r="S1172" s="12"/>
    </row>
    <row r="1173" spans="1:19" x14ac:dyDescent="0.25">
      <c r="A1173" s="9" t="s">
        <v>445</v>
      </c>
      <c r="B1173" s="9" t="s">
        <v>445</v>
      </c>
      <c r="C1173" s="4">
        <v>201000835</v>
      </c>
      <c r="D1173" s="4"/>
      <c r="E1173" s="4" t="str">
        <f>"015962010"</f>
        <v>015962010</v>
      </c>
      <c r="F1173" s="10">
        <v>40148</v>
      </c>
      <c r="G1173" s="11">
        <v>3863</v>
      </c>
      <c r="H1173" s="11">
        <v>3863</v>
      </c>
      <c r="I1173" s="4" t="s">
        <v>366</v>
      </c>
      <c r="J1173" s="4" t="s">
        <v>367</v>
      </c>
      <c r="K1173" s="11">
        <v>0</v>
      </c>
      <c r="L1173" s="4"/>
      <c r="M1173" s="4"/>
      <c r="N1173" s="11">
        <v>0</v>
      </c>
      <c r="O1173" s="4"/>
      <c r="P1173" s="4"/>
      <c r="Q1173" s="11">
        <v>0</v>
      </c>
      <c r="R1173" s="4"/>
      <c r="S1173" s="12"/>
    </row>
    <row r="1174" spans="1:19" x14ac:dyDescent="0.25">
      <c r="A1174" s="9" t="s">
        <v>445</v>
      </c>
      <c r="B1174" s="9" t="s">
        <v>445</v>
      </c>
      <c r="C1174" s="4">
        <v>201000906</v>
      </c>
      <c r="D1174" s="4"/>
      <c r="E1174" s="4" t="str">
        <f>"019292010"</f>
        <v>019292010</v>
      </c>
      <c r="F1174" s="10">
        <v>40156</v>
      </c>
      <c r="G1174" s="11">
        <v>2696</v>
      </c>
      <c r="H1174" s="11">
        <v>2696</v>
      </c>
      <c r="I1174" s="4" t="s">
        <v>366</v>
      </c>
      <c r="J1174" s="4" t="s">
        <v>367</v>
      </c>
      <c r="K1174" s="11">
        <v>0</v>
      </c>
      <c r="L1174" s="4"/>
      <c r="M1174" s="4"/>
      <c r="N1174" s="11">
        <v>0</v>
      </c>
      <c r="O1174" s="4"/>
      <c r="P1174" s="4"/>
      <c r="Q1174" s="11">
        <v>0</v>
      </c>
      <c r="R1174" s="4"/>
      <c r="S1174" s="12"/>
    </row>
    <row r="1175" spans="1:19" x14ac:dyDescent="0.25">
      <c r="A1175" s="9" t="s">
        <v>445</v>
      </c>
      <c r="B1175" s="9" t="s">
        <v>445</v>
      </c>
      <c r="C1175" s="4">
        <v>201000952</v>
      </c>
      <c r="D1175" s="4"/>
      <c r="E1175" s="4" t="str">
        <f>"018142010"</f>
        <v>018142010</v>
      </c>
      <c r="F1175" s="10">
        <v>40151</v>
      </c>
      <c r="G1175" s="11">
        <v>4859.5</v>
      </c>
      <c r="H1175" s="11">
        <v>4859.5</v>
      </c>
      <c r="I1175" s="4" t="s">
        <v>366</v>
      </c>
      <c r="J1175" s="4" t="s">
        <v>367</v>
      </c>
      <c r="K1175" s="11">
        <v>0</v>
      </c>
      <c r="L1175" s="4"/>
      <c r="M1175" s="4"/>
      <c r="N1175" s="11">
        <v>0</v>
      </c>
      <c r="O1175" s="4"/>
      <c r="P1175" s="4"/>
      <c r="Q1175" s="11">
        <v>0</v>
      </c>
      <c r="R1175" s="4"/>
      <c r="S1175" s="12"/>
    </row>
    <row r="1176" spans="1:19" x14ac:dyDescent="0.25">
      <c r="A1176" s="9" t="s">
        <v>445</v>
      </c>
      <c r="B1176" s="9" t="s">
        <v>445</v>
      </c>
      <c r="C1176" s="4">
        <v>201001007</v>
      </c>
      <c r="D1176" s="4"/>
      <c r="E1176" s="4" t="str">
        <f>"018932010"</f>
        <v>018932010</v>
      </c>
      <c r="F1176" s="10">
        <v>40155</v>
      </c>
      <c r="G1176" s="11">
        <v>3794.5</v>
      </c>
      <c r="H1176" s="11">
        <v>3794.5</v>
      </c>
      <c r="I1176" s="4" t="s">
        <v>366</v>
      </c>
      <c r="J1176" s="4" t="s">
        <v>367</v>
      </c>
      <c r="K1176" s="11">
        <v>0</v>
      </c>
      <c r="L1176" s="4"/>
      <c r="M1176" s="4"/>
      <c r="N1176" s="11">
        <v>0</v>
      </c>
      <c r="O1176" s="4"/>
      <c r="P1176" s="4"/>
      <c r="Q1176" s="11">
        <v>0</v>
      </c>
      <c r="R1176" s="4"/>
      <c r="S1176" s="12"/>
    </row>
    <row r="1177" spans="1:19" x14ac:dyDescent="0.25">
      <c r="A1177" s="9" t="s">
        <v>445</v>
      </c>
      <c r="B1177" s="9" t="s">
        <v>445</v>
      </c>
      <c r="C1177" s="4">
        <v>201001012</v>
      </c>
      <c r="D1177" s="4"/>
      <c r="E1177" s="4" t="str">
        <f>"019412010"</f>
        <v>019412010</v>
      </c>
      <c r="F1177" s="10">
        <v>40156</v>
      </c>
      <c r="G1177" s="11">
        <v>75000</v>
      </c>
      <c r="H1177" s="11">
        <v>75000</v>
      </c>
      <c r="I1177" s="4" t="s">
        <v>687</v>
      </c>
      <c r="J1177" s="4" t="s">
        <v>688</v>
      </c>
      <c r="K1177" s="11">
        <v>0</v>
      </c>
      <c r="L1177" s="4"/>
      <c r="M1177" s="4"/>
      <c r="N1177" s="11">
        <v>0</v>
      </c>
      <c r="O1177" s="4"/>
      <c r="P1177" s="4"/>
      <c r="Q1177" s="11">
        <v>0</v>
      </c>
      <c r="R1177" s="4"/>
      <c r="S1177" s="12"/>
    </row>
    <row r="1178" spans="1:19" x14ac:dyDescent="0.25">
      <c r="A1178" s="9" t="s">
        <v>445</v>
      </c>
      <c r="B1178" s="9" t="s">
        <v>445</v>
      </c>
      <c r="C1178" s="4">
        <v>201001055</v>
      </c>
      <c r="D1178" s="4"/>
      <c r="E1178" s="4" t="str">
        <f>"020242010"</f>
        <v>020242010</v>
      </c>
      <c r="F1178" s="10">
        <v>40157</v>
      </c>
      <c r="G1178" s="11">
        <v>29974.95</v>
      </c>
      <c r="H1178" s="11">
        <v>29974.95</v>
      </c>
      <c r="I1178" s="4" t="s">
        <v>366</v>
      </c>
      <c r="J1178" s="4" t="s">
        <v>367</v>
      </c>
      <c r="K1178" s="11">
        <v>0</v>
      </c>
      <c r="L1178" s="4"/>
      <c r="M1178" s="4"/>
      <c r="N1178" s="11">
        <v>0</v>
      </c>
      <c r="O1178" s="4"/>
      <c r="P1178" s="4"/>
      <c r="Q1178" s="11">
        <v>0</v>
      </c>
      <c r="R1178" s="4"/>
      <c r="S1178" s="12"/>
    </row>
    <row r="1179" spans="1:19" x14ac:dyDescent="0.25">
      <c r="A1179" s="9" t="s">
        <v>445</v>
      </c>
      <c r="B1179" s="9" t="s">
        <v>445</v>
      </c>
      <c r="C1179" s="4">
        <v>201001121</v>
      </c>
      <c r="D1179" s="4"/>
      <c r="E1179" s="4" t="str">
        <f>"021872010"</f>
        <v>021872010</v>
      </c>
      <c r="F1179" s="10">
        <v>40161</v>
      </c>
      <c r="G1179" s="11">
        <v>7507.6</v>
      </c>
      <c r="H1179" s="11">
        <v>7507.6</v>
      </c>
      <c r="I1179" s="4" t="s">
        <v>366</v>
      </c>
      <c r="J1179" s="4" t="s">
        <v>367</v>
      </c>
      <c r="K1179" s="11">
        <v>0</v>
      </c>
      <c r="L1179" s="4"/>
      <c r="M1179" s="4"/>
      <c r="N1179" s="11">
        <v>0</v>
      </c>
      <c r="O1179" s="4"/>
      <c r="P1179" s="4"/>
      <c r="Q1179" s="11">
        <v>0</v>
      </c>
      <c r="R1179" s="4"/>
      <c r="S1179" s="12"/>
    </row>
    <row r="1180" spans="1:19" x14ac:dyDescent="0.25">
      <c r="A1180" s="9" t="s">
        <v>445</v>
      </c>
      <c r="B1180" s="9" t="s">
        <v>445</v>
      </c>
      <c r="C1180" s="4">
        <v>201001130</v>
      </c>
      <c r="D1180" s="4"/>
      <c r="E1180" s="4" t="str">
        <f>"021792010"</f>
        <v>021792010</v>
      </c>
      <c r="F1180" s="10">
        <v>40161</v>
      </c>
      <c r="G1180" s="11">
        <v>10185.6</v>
      </c>
      <c r="H1180" s="11">
        <v>10185.6</v>
      </c>
      <c r="I1180" s="4" t="s">
        <v>366</v>
      </c>
      <c r="J1180" s="4" t="s">
        <v>367</v>
      </c>
      <c r="K1180" s="11">
        <v>0</v>
      </c>
      <c r="L1180" s="4"/>
      <c r="M1180" s="4"/>
      <c r="N1180" s="11">
        <v>0</v>
      </c>
      <c r="O1180" s="4"/>
      <c r="P1180" s="4"/>
      <c r="Q1180" s="11">
        <v>0</v>
      </c>
      <c r="R1180" s="4"/>
      <c r="S1180" s="12"/>
    </row>
    <row r="1181" spans="1:19" x14ac:dyDescent="0.25">
      <c r="A1181" s="9" t="s">
        <v>445</v>
      </c>
      <c r="B1181" s="9" t="s">
        <v>445</v>
      </c>
      <c r="C1181" s="4">
        <v>201001222</v>
      </c>
      <c r="D1181" s="4"/>
      <c r="E1181" s="4" t="str">
        <f>"023872010"</f>
        <v>023872010</v>
      </c>
      <c r="F1181" s="10">
        <v>40170</v>
      </c>
      <c r="G1181" s="11">
        <v>19000</v>
      </c>
      <c r="H1181" s="11">
        <v>19000</v>
      </c>
      <c r="I1181" s="4" t="s">
        <v>687</v>
      </c>
      <c r="J1181" s="4" t="s">
        <v>688</v>
      </c>
      <c r="K1181" s="11">
        <v>0</v>
      </c>
      <c r="L1181" s="4"/>
      <c r="M1181" s="4"/>
      <c r="N1181" s="11">
        <v>0</v>
      </c>
      <c r="O1181" s="4"/>
      <c r="P1181" s="4"/>
      <c r="Q1181" s="11">
        <v>0</v>
      </c>
      <c r="R1181" s="4"/>
      <c r="S1181" s="12"/>
    </row>
    <row r="1182" spans="1:19" x14ac:dyDescent="0.25">
      <c r="A1182" s="9" t="s">
        <v>445</v>
      </c>
      <c r="B1182" s="9" t="s">
        <v>445</v>
      </c>
      <c r="C1182" s="4">
        <v>201001225</v>
      </c>
      <c r="D1182" s="4"/>
      <c r="E1182" s="4" t="str">
        <f>"028402010"</f>
        <v>028402010</v>
      </c>
      <c r="F1182" s="10">
        <v>40186</v>
      </c>
      <c r="G1182" s="11">
        <v>150000</v>
      </c>
      <c r="H1182" s="11">
        <v>150000</v>
      </c>
      <c r="I1182" s="4" t="s">
        <v>1949</v>
      </c>
      <c r="J1182" s="4" t="s">
        <v>1950</v>
      </c>
      <c r="K1182" s="11">
        <v>0</v>
      </c>
      <c r="L1182" s="4"/>
      <c r="M1182" s="4"/>
      <c r="N1182" s="11">
        <v>0</v>
      </c>
      <c r="O1182" s="4"/>
      <c r="P1182" s="4"/>
      <c r="Q1182" s="11">
        <v>0</v>
      </c>
      <c r="R1182" s="4"/>
      <c r="S1182" s="12"/>
    </row>
    <row r="1183" spans="1:19" x14ac:dyDescent="0.25">
      <c r="A1183" s="9" t="s">
        <v>445</v>
      </c>
      <c r="B1183" s="9" t="s">
        <v>445</v>
      </c>
      <c r="C1183" s="4">
        <v>201001236</v>
      </c>
      <c r="D1183" s="4"/>
      <c r="E1183" s="4" t="str">
        <f>"024132010"</f>
        <v>024132010</v>
      </c>
      <c r="F1183" s="10">
        <v>40170</v>
      </c>
      <c r="G1183" s="11">
        <v>25000</v>
      </c>
      <c r="H1183" s="11">
        <v>25000</v>
      </c>
      <c r="I1183" s="4" t="s">
        <v>366</v>
      </c>
      <c r="J1183" s="4" t="s">
        <v>367</v>
      </c>
      <c r="K1183" s="11">
        <v>0</v>
      </c>
      <c r="L1183" s="4"/>
      <c r="M1183" s="4"/>
      <c r="N1183" s="11">
        <v>0</v>
      </c>
      <c r="O1183" s="4"/>
      <c r="P1183" s="4"/>
      <c r="Q1183" s="11">
        <v>0</v>
      </c>
      <c r="R1183" s="4"/>
      <c r="S1183" s="12"/>
    </row>
    <row r="1184" spans="1:19" x14ac:dyDescent="0.25">
      <c r="A1184" s="9" t="s">
        <v>445</v>
      </c>
      <c r="B1184" s="9" t="s">
        <v>445</v>
      </c>
      <c r="C1184" s="4">
        <v>201001254</v>
      </c>
      <c r="D1184" s="4"/>
      <c r="E1184" s="4" t="str">
        <f>"024452010"</f>
        <v>024452010</v>
      </c>
      <c r="F1184" s="10">
        <v>40177</v>
      </c>
      <c r="G1184" s="11">
        <v>3876.94</v>
      </c>
      <c r="H1184" s="11">
        <v>3876.94</v>
      </c>
      <c r="I1184" s="4" t="s">
        <v>366</v>
      </c>
      <c r="J1184" s="4" t="s">
        <v>367</v>
      </c>
      <c r="K1184" s="11">
        <v>0</v>
      </c>
      <c r="L1184" s="4"/>
      <c r="M1184" s="4"/>
      <c r="N1184" s="11">
        <v>0</v>
      </c>
      <c r="O1184" s="4"/>
      <c r="P1184" s="4"/>
      <c r="Q1184" s="11">
        <v>0</v>
      </c>
      <c r="R1184" s="4"/>
      <c r="S1184" s="12"/>
    </row>
    <row r="1185" spans="1:19" x14ac:dyDescent="0.25">
      <c r="A1185" s="9" t="s">
        <v>445</v>
      </c>
      <c r="B1185" s="9" t="s">
        <v>445</v>
      </c>
      <c r="C1185" s="4">
        <v>201001295</v>
      </c>
      <c r="D1185" s="4"/>
      <c r="E1185" s="4" t="str">
        <f>"029912010"</f>
        <v>029912010</v>
      </c>
      <c r="F1185" s="10">
        <v>40192</v>
      </c>
      <c r="G1185" s="11">
        <v>3231.81</v>
      </c>
      <c r="H1185" s="11">
        <v>3231.81</v>
      </c>
      <c r="I1185" s="4" t="s">
        <v>366</v>
      </c>
      <c r="J1185" s="4" t="s">
        <v>367</v>
      </c>
      <c r="K1185" s="11">
        <v>0</v>
      </c>
      <c r="L1185" s="4"/>
      <c r="M1185" s="4"/>
      <c r="N1185" s="11">
        <v>0</v>
      </c>
      <c r="O1185" s="4"/>
      <c r="P1185" s="4"/>
      <c r="Q1185" s="11">
        <v>0</v>
      </c>
      <c r="R1185" s="4"/>
      <c r="S1185" s="12"/>
    </row>
    <row r="1186" spans="1:19" x14ac:dyDescent="0.25">
      <c r="A1186" s="9" t="s">
        <v>445</v>
      </c>
      <c r="B1186" s="9" t="s">
        <v>445</v>
      </c>
      <c r="C1186" s="4">
        <v>201001304</v>
      </c>
      <c r="D1186" s="4"/>
      <c r="E1186" s="4" t="str">
        <f>"025392010"</f>
        <v>025392010</v>
      </c>
      <c r="F1186" s="10">
        <v>40177</v>
      </c>
      <c r="G1186" s="11">
        <v>4282.68</v>
      </c>
      <c r="H1186" s="11">
        <v>4282.68</v>
      </c>
      <c r="I1186" s="4" t="s">
        <v>366</v>
      </c>
      <c r="J1186" s="4" t="s">
        <v>367</v>
      </c>
      <c r="K1186" s="11">
        <v>0</v>
      </c>
      <c r="L1186" s="4"/>
      <c r="M1186" s="4"/>
      <c r="N1186" s="11">
        <v>0</v>
      </c>
      <c r="O1186" s="4"/>
      <c r="P1186" s="4"/>
      <c r="Q1186" s="11">
        <v>0</v>
      </c>
      <c r="R1186" s="4"/>
      <c r="S1186" s="12"/>
    </row>
    <row r="1187" spans="1:19" x14ac:dyDescent="0.25">
      <c r="A1187" s="9" t="s">
        <v>445</v>
      </c>
      <c r="B1187" s="9" t="s">
        <v>445</v>
      </c>
      <c r="C1187" s="4">
        <v>201001332</v>
      </c>
      <c r="D1187" s="4"/>
      <c r="E1187" s="4" t="str">
        <f>"025692010"</f>
        <v>025692010</v>
      </c>
      <c r="F1187" s="10">
        <v>40177</v>
      </c>
      <c r="G1187" s="11">
        <v>2862.33</v>
      </c>
      <c r="H1187" s="11">
        <v>2862.33</v>
      </c>
      <c r="I1187" s="4" t="s">
        <v>366</v>
      </c>
      <c r="J1187" s="4" t="s">
        <v>367</v>
      </c>
      <c r="K1187" s="11">
        <v>0</v>
      </c>
      <c r="L1187" s="4"/>
      <c r="M1187" s="4"/>
      <c r="N1187" s="11">
        <v>0</v>
      </c>
      <c r="O1187" s="4"/>
      <c r="P1187" s="4"/>
      <c r="Q1187" s="11">
        <v>0</v>
      </c>
      <c r="R1187" s="4"/>
      <c r="S1187" s="12"/>
    </row>
    <row r="1188" spans="1:19" x14ac:dyDescent="0.25">
      <c r="A1188" s="9" t="s">
        <v>445</v>
      </c>
      <c r="B1188" s="9" t="s">
        <v>445</v>
      </c>
      <c r="C1188" s="4">
        <v>201001351</v>
      </c>
      <c r="D1188" s="4"/>
      <c r="E1188" s="4" t="str">
        <f>"026372010"</f>
        <v>026372010</v>
      </c>
      <c r="F1188" s="10">
        <v>40192</v>
      </c>
      <c r="G1188" s="11">
        <v>6674.25</v>
      </c>
      <c r="H1188" s="11">
        <v>6674.25</v>
      </c>
      <c r="I1188" s="4" t="s">
        <v>366</v>
      </c>
      <c r="J1188" s="4" t="s">
        <v>367</v>
      </c>
      <c r="K1188" s="11">
        <v>0</v>
      </c>
      <c r="L1188" s="4"/>
      <c r="M1188" s="4"/>
      <c r="N1188" s="11">
        <v>0</v>
      </c>
      <c r="O1188" s="4"/>
      <c r="P1188" s="4"/>
      <c r="Q1188" s="11">
        <v>0</v>
      </c>
      <c r="R1188" s="4"/>
      <c r="S1188" s="12"/>
    </row>
    <row r="1189" spans="1:19" x14ac:dyDescent="0.25">
      <c r="A1189" s="9" t="s">
        <v>445</v>
      </c>
      <c r="B1189" s="9" t="s">
        <v>445</v>
      </c>
      <c r="C1189" s="4">
        <v>201001405</v>
      </c>
      <c r="D1189" s="4" t="s">
        <v>2534</v>
      </c>
      <c r="E1189" s="4" t="str">
        <f>"027372010"</f>
        <v>027372010</v>
      </c>
      <c r="F1189" s="10">
        <v>40185</v>
      </c>
      <c r="G1189" s="11">
        <v>7000</v>
      </c>
      <c r="H1189" s="11">
        <v>5600</v>
      </c>
      <c r="I1189" s="4" t="s">
        <v>687</v>
      </c>
      <c r="J1189" s="4" t="s">
        <v>688</v>
      </c>
      <c r="K1189" s="11">
        <v>1400</v>
      </c>
      <c r="L1189" s="4" t="s">
        <v>687</v>
      </c>
      <c r="M1189" s="4" t="s">
        <v>688</v>
      </c>
      <c r="N1189" s="11">
        <v>0</v>
      </c>
      <c r="O1189" s="4"/>
      <c r="P1189" s="4"/>
      <c r="Q1189" s="11">
        <v>0</v>
      </c>
      <c r="R1189" s="4"/>
      <c r="S1189" s="12"/>
    </row>
    <row r="1190" spans="1:19" x14ac:dyDescent="0.25">
      <c r="A1190" s="9" t="s">
        <v>445</v>
      </c>
      <c r="B1190" s="9" t="s">
        <v>445</v>
      </c>
      <c r="C1190" s="4">
        <v>201001453</v>
      </c>
      <c r="D1190" s="4" t="s">
        <v>1951</v>
      </c>
      <c r="E1190" s="4" t="str">
        <f>"028442010"</f>
        <v>028442010</v>
      </c>
      <c r="F1190" s="10">
        <v>40186</v>
      </c>
      <c r="G1190" s="11">
        <v>6485</v>
      </c>
      <c r="H1190" s="11">
        <v>6485</v>
      </c>
      <c r="I1190" s="4" t="s">
        <v>366</v>
      </c>
      <c r="J1190" s="4" t="s">
        <v>367</v>
      </c>
      <c r="K1190" s="11">
        <v>0</v>
      </c>
      <c r="L1190" s="4"/>
      <c r="M1190" s="4"/>
      <c r="N1190" s="11">
        <v>0</v>
      </c>
      <c r="O1190" s="4"/>
      <c r="P1190" s="4"/>
      <c r="Q1190" s="11">
        <v>0</v>
      </c>
      <c r="R1190" s="4"/>
      <c r="S1190" s="12"/>
    </row>
    <row r="1191" spans="1:19" x14ac:dyDescent="0.25">
      <c r="A1191" s="9" t="s">
        <v>445</v>
      </c>
      <c r="B1191" s="9" t="s">
        <v>445</v>
      </c>
      <c r="C1191" s="4">
        <v>201001540</v>
      </c>
      <c r="D1191" s="4"/>
      <c r="E1191" s="4" t="str">
        <f>"033842010"</f>
        <v>033842010</v>
      </c>
      <c r="F1191" s="10">
        <v>40205</v>
      </c>
      <c r="G1191" s="11">
        <v>4655.21</v>
      </c>
      <c r="H1191" s="11">
        <v>4655.21</v>
      </c>
      <c r="I1191" s="4" t="s">
        <v>366</v>
      </c>
      <c r="J1191" s="4" t="s">
        <v>367</v>
      </c>
      <c r="K1191" s="11">
        <v>0</v>
      </c>
      <c r="L1191" s="4"/>
      <c r="M1191" s="4"/>
      <c r="N1191" s="11">
        <v>0</v>
      </c>
      <c r="O1191" s="4"/>
      <c r="P1191" s="4"/>
      <c r="Q1191" s="11">
        <v>0</v>
      </c>
      <c r="R1191" s="4"/>
      <c r="S1191" s="12"/>
    </row>
    <row r="1192" spans="1:19" x14ac:dyDescent="0.25">
      <c r="A1192" s="9" t="s">
        <v>445</v>
      </c>
      <c r="B1192" s="9" t="s">
        <v>445</v>
      </c>
      <c r="C1192" s="4">
        <v>201001557</v>
      </c>
      <c r="D1192" s="4"/>
      <c r="E1192" s="4" t="str">
        <f>"029832010"</f>
        <v>029832010</v>
      </c>
      <c r="F1192" s="10">
        <v>40192</v>
      </c>
      <c r="G1192" s="11">
        <v>3577.8</v>
      </c>
      <c r="H1192" s="11">
        <v>3577.8</v>
      </c>
      <c r="I1192" s="4" t="s">
        <v>366</v>
      </c>
      <c r="J1192" s="4" t="s">
        <v>367</v>
      </c>
      <c r="K1192" s="11">
        <v>0</v>
      </c>
      <c r="L1192" s="4"/>
      <c r="M1192" s="4"/>
      <c r="N1192" s="11">
        <v>0</v>
      </c>
      <c r="O1192" s="4"/>
      <c r="P1192" s="4"/>
      <c r="Q1192" s="11">
        <v>0</v>
      </c>
      <c r="R1192" s="4"/>
      <c r="S1192" s="12"/>
    </row>
    <row r="1193" spans="1:19" x14ac:dyDescent="0.25">
      <c r="A1193" s="9" t="s">
        <v>445</v>
      </c>
      <c r="B1193" s="9" t="s">
        <v>445</v>
      </c>
      <c r="C1193" s="4">
        <v>201001564</v>
      </c>
      <c r="D1193" s="4"/>
      <c r="E1193" s="4" t="str">
        <f>"030012010"</f>
        <v>030012010</v>
      </c>
      <c r="F1193" s="10">
        <v>40192</v>
      </c>
      <c r="G1193" s="11">
        <v>5364.15</v>
      </c>
      <c r="H1193" s="11">
        <v>5364.15</v>
      </c>
      <c r="I1193" s="4" t="s">
        <v>366</v>
      </c>
      <c r="J1193" s="4" t="s">
        <v>367</v>
      </c>
      <c r="K1193" s="11">
        <v>0</v>
      </c>
      <c r="L1193" s="4"/>
      <c r="M1193" s="4"/>
      <c r="N1193" s="11">
        <v>0</v>
      </c>
      <c r="O1193" s="4"/>
      <c r="P1193" s="4"/>
      <c r="Q1193" s="11">
        <v>0</v>
      </c>
      <c r="R1193" s="4"/>
      <c r="S1193" s="12"/>
    </row>
    <row r="1194" spans="1:19" x14ac:dyDescent="0.25">
      <c r="A1194" s="9" t="s">
        <v>445</v>
      </c>
      <c r="B1194" s="9" t="s">
        <v>291</v>
      </c>
      <c r="C1194" s="4">
        <v>201001625</v>
      </c>
      <c r="D1194" s="4" t="s">
        <v>1952</v>
      </c>
      <c r="E1194" s="4" t="str">
        <f>"031602010"</f>
        <v>031602010</v>
      </c>
      <c r="F1194" s="10">
        <v>40198</v>
      </c>
      <c r="G1194" s="11">
        <v>6000</v>
      </c>
      <c r="H1194" s="11">
        <v>6000</v>
      </c>
      <c r="I1194" s="4" t="s">
        <v>366</v>
      </c>
      <c r="J1194" s="4" t="s">
        <v>367</v>
      </c>
      <c r="K1194" s="11">
        <v>0</v>
      </c>
      <c r="L1194" s="4"/>
      <c r="M1194" s="4"/>
      <c r="N1194" s="11">
        <v>0</v>
      </c>
      <c r="O1194" s="4"/>
      <c r="P1194" s="4"/>
      <c r="Q1194" s="11">
        <v>0</v>
      </c>
      <c r="R1194" s="4"/>
      <c r="S1194" s="12"/>
    </row>
    <row r="1195" spans="1:19" x14ac:dyDescent="0.25">
      <c r="A1195" s="9" t="s">
        <v>445</v>
      </c>
      <c r="B1195" s="9" t="s">
        <v>445</v>
      </c>
      <c r="C1195" s="4">
        <v>201001638</v>
      </c>
      <c r="D1195" s="4" t="s">
        <v>1953</v>
      </c>
      <c r="E1195" s="4" t="str">
        <f>"032102010"</f>
        <v>032102010</v>
      </c>
      <c r="F1195" s="10">
        <v>40205</v>
      </c>
      <c r="G1195" s="11">
        <v>90000</v>
      </c>
      <c r="H1195" s="11">
        <v>90000</v>
      </c>
      <c r="I1195" s="4" t="s">
        <v>687</v>
      </c>
      <c r="J1195" s="4" t="s">
        <v>688</v>
      </c>
      <c r="K1195" s="11">
        <v>0</v>
      </c>
      <c r="L1195" s="4"/>
      <c r="M1195" s="4"/>
      <c r="N1195" s="11">
        <v>0</v>
      </c>
      <c r="O1195" s="4"/>
      <c r="P1195" s="4"/>
      <c r="Q1195" s="11">
        <v>0</v>
      </c>
      <c r="R1195" s="4"/>
      <c r="S1195" s="12"/>
    </row>
    <row r="1196" spans="1:19" x14ac:dyDescent="0.25">
      <c r="A1196" s="9" t="s">
        <v>445</v>
      </c>
      <c r="B1196" s="9" t="s">
        <v>445</v>
      </c>
      <c r="C1196" s="4">
        <v>201001647</v>
      </c>
      <c r="D1196" s="4"/>
      <c r="E1196" s="4" t="str">
        <f>"031962010"</f>
        <v>031962010</v>
      </c>
      <c r="F1196" s="10">
        <v>40198</v>
      </c>
      <c r="G1196" s="11">
        <v>5721.94</v>
      </c>
      <c r="H1196" s="11">
        <v>5721.94</v>
      </c>
      <c r="I1196" s="4" t="s">
        <v>366</v>
      </c>
      <c r="J1196" s="4" t="s">
        <v>367</v>
      </c>
      <c r="K1196" s="11">
        <v>0</v>
      </c>
      <c r="L1196" s="4"/>
      <c r="M1196" s="4"/>
      <c r="N1196" s="11">
        <v>0</v>
      </c>
      <c r="O1196" s="4"/>
      <c r="P1196" s="4"/>
      <c r="Q1196" s="11">
        <v>0</v>
      </c>
      <c r="R1196" s="4"/>
      <c r="S1196" s="12"/>
    </row>
    <row r="1197" spans="1:19" x14ac:dyDescent="0.25">
      <c r="A1197" s="9" t="s">
        <v>445</v>
      </c>
      <c r="B1197" s="9" t="s">
        <v>445</v>
      </c>
      <c r="C1197" s="4">
        <v>201001668</v>
      </c>
      <c r="D1197" s="4"/>
      <c r="E1197" s="4" t="str">
        <f>"054972010"</f>
        <v>054972010</v>
      </c>
      <c r="F1197" s="10">
        <v>40281</v>
      </c>
      <c r="G1197" s="11">
        <v>4031.32</v>
      </c>
      <c r="H1197" s="11">
        <v>4031.32</v>
      </c>
      <c r="I1197" s="4" t="s">
        <v>366</v>
      </c>
      <c r="J1197" s="4" t="s">
        <v>367</v>
      </c>
      <c r="K1197" s="11">
        <v>0</v>
      </c>
      <c r="L1197" s="4"/>
      <c r="M1197" s="4"/>
      <c r="N1197" s="11">
        <v>0</v>
      </c>
      <c r="O1197" s="4"/>
      <c r="P1197" s="4"/>
      <c r="Q1197" s="11">
        <v>0</v>
      </c>
      <c r="R1197" s="4"/>
      <c r="S1197" s="12"/>
    </row>
    <row r="1198" spans="1:19" x14ac:dyDescent="0.25">
      <c r="A1198" s="9" t="s">
        <v>445</v>
      </c>
      <c r="B1198" s="9" t="s">
        <v>445</v>
      </c>
      <c r="C1198" s="4">
        <v>201001672</v>
      </c>
      <c r="D1198" s="4"/>
      <c r="E1198" s="4" t="str">
        <f>"032682010"</f>
        <v>032682010</v>
      </c>
      <c r="F1198" s="10">
        <v>40200</v>
      </c>
      <c r="G1198" s="11">
        <v>3343.37</v>
      </c>
      <c r="H1198" s="11">
        <v>3343.37</v>
      </c>
      <c r="I1198" s="4" t="s">
        <v>54</v>
      </c>
      <c r="J1198" s="4" t="s">
        <v>55</v>
      </c>
      <c r="K1198" s="11">
        <v>0</v>
      </c>
      <c r="L1198" s="4"/>
      <c r="M1198" s="4"/>
      <c r="N1198" s="11">
        <v>0</v>
      </c>
      <c r="O1198" s="4"/>
      <c r="P1198" s="4"/>
      <c r="Q1198" s="11">
        <v>0</v>
      </c>
      <c r="R1198" s="4"/>
      <c r="S1198" s="12"/>
    </row>
    <row r="1199" spans="1:19" x14ac:dyDescent="0.25">
      <c r="A1199" s="9" t="s">
        <v>445</v>
      </c>
      <c r="B1199" s="9" t="s">
        <v>445</v>
      </c>
      <c r="C1199" s="4">
        <v>201001678</v>
      </c>
      <c r="D1199" s="4" t="s">
        <v>1954</v>
      </c>
      <c r="E1199" s="4" t="str">
        <f>"032742010"</f>
        <v>032742010</v>
      </c>
      <c r="F1199" s="10">
        <v>40205</v>
      </c>
      <c r="G1199" s="11">
        <v>55000</v>
      </c>
      <c r="H1199" s="11">
        <v>55000</v>
      </c>
      <c r="I1199" s="4" t="s">
        <v>687</v>
      </c>
      <c r="J1199" s="4" t="s">
        <v>688</v>
      </c>
      <c r="K1199" s="11">
        <v>0</v>
      </c>
      <c r="L1199" s="4"/>
      <c r="M1199" s="4"/>
      <c r="N1199" s="11">
        <v>0</v>
      </c>
      <c r="O1199" s="4"/>
      <c r="P1199" s="4"/>
      <c r="Q1199" s="11">
        <v>0</v>
      </c>
      <c r="R1199" s="4"/>
      <c r="S1199" s="12"/>
    </row>
    <row r="1200" spans="1:19" x14ac:dyDescent="0.25">
      <c r="A1200" s="9" t="s">
        <v>445</v>
      </c>
      <c r="B1200" s="9" t="s">
        <v>445</v>
      </c>
      <c r="C1200" s="4">
        <v>201001682</v>
      </c>
      <c r="D1200" s="4"/>
      <c r="E1200" s="4" t="str">
        <f>"036882010"</f>
        <v>036882010</v>
      </c>
      <c r="F1200" s="10">
        <v>40214</v>
      </c>
      <c r="G1200" s="11">
        <v>2803.97</v>
      </c>
      <c r="H1200" s="11">
        <v>2803.97</v>
      </c>
      <c r="I1200" s="4" t="s">
        <v>366</v>
      </c>
      <c r="J1200" s="4" t="s">
        <v>367</v>
      </c>
      <c r="K1200" s="11">
        <v>0</v>
      </c>
      <c r="L1200" s="4"/>
      <c r="M1200" s="4"/>
      <c r="N1200" s="11">
        <v>0</v>
      </c>
      <c r="O1200" s="4"/>
      <c r="P1200" s="4"/>
      <c r="Q1200" s="11">
        <v>0</v>
      </c>
      <c r="R1200" s="4"/>
      <c r="S1200" s="12"/>
    </row>
    <row r="1201" spans="1:19" x14ac:dyDescent="0.25">
      <c r="A1201" s="9" t="s">
        <v>445</v>
      </c>
      <c r="B1201" s="9" t="s">
        <v>445</v>
      </c>
      <c r="C1201" s="4">
        <v>201001696</v>
      </c>
      <c r="D1201" s="4"/>
      <c r="E1201" s="4" t="str">
        <f>"033162010"</f>
        <v>033162010</v>
      </c>
      <c r="F1201" s="10">
        <v>40203</v>
      </c>
      <c r="G1201" s="11">
        <v>4964.79</v>
      </c>
      <c r="H1201" s="11">
        <v>4964.79</v>
      </c>
      <c r="I1201" s="4" t="s">
        <v>366</v>
      </c>
      <c r="J1201" s="4" t="s">
        <v>367</v>
      </c>
      <c r="K1201" s="11">
        <v>0</v>
      </c>
      <c r="L1201" s="4"/>
      <c r="M1201" s="4"/>
      <c r="N1201" s="11">
        <v>0</v>
      </c>
      <c r="O1201" s="4"/>
      <c r="P1201" s="4"/>
      <c r="Q1201" s="11">
        <v>0</v>
      </c>
      <c r="R1201" s="4"/>
      <c r="S1201" s="12"/>
    </row>
    <row r="1202" spans="1:19" x14ac:dyDescent="0.25">
      <c r="A1202" s="9" t="s">
        <v>445</v>
      </c>
      <c r="B1202" s="9" t="s">
        <v>445</v>
      </c>
      <c r="C1202" s="4">
        <v>201001705</v>
      </c>
      <c r="D1202" s="4"/>
      <c r="E1202" s="4" t="str">
        <f>"039162010"</f>
        <v>039162010</v>
      </c>
      <c r="F1202" s="10">
        <v>40228</v>
      </c>
      <c r="G1202" s="11">
        <v>2543.04</v>
      </c>
      <c r="H1202" s="11">
        <v>2543.04</v>
      </c>
      <c r="I1202" s="4" t="s">
        <v>366</v>
      </c>
      <c r="J1202" s="4" t="s">
        <v>367</v>
      </c>
      <c r="K1202" s="11">
        <v>0</v>
      </c>
      <c r="L1202" s="4"/>
      <c r="M1202" s="4"/>
      <c r="N1202" s="11">
        <v>0</v>
      </c>
      <c r="O1202" s="4"/>
      <c r="P1202" s="4"/>
      <c r="Q1202" s="11">
        <v>0</v>
      </c>
      <c r="R1202" s="4"/>
      <c r="S1202" s="12"/>
    </row>
    <row r="1203" spans="1:19" x14ac:dyDescent="0.25">
      <c r="A1203" s="9" t="s">
        <v>445</v>
      </c>
      <c r="B1203" s="9" t="s">
        <v>445</v>
      </c>
      <c r="C1203" s="4">
        <v>201001805</v>
      </c>
      <c r="D1203" s="4"/>
      <c r="E1203" s="4" t="str">
        <f>"036022010"</f>
        <v>036022010</v>
      </c>
      <c r="F1203" s="10">
        <v>40213</v>
      </c>
      <c r="G1203" s="11">
        <v>11512.45</v>
      </c>
      <c r="H1203" s="11">
        <v>11512.45</v>
      </c>
      <c r="I1203" s="4" t="s">
        <v>366</v>
      </c>
      <c r="J1203" s="4" t="s">
        <v>367</v>
      </c>
      <c r="K1203" s="11">
        <v>0</v>
      </c>
      <c r="L1203" s="4"/>
      <c r="M1203" s="4"/>
      <c r="N1203" s="11">
        <v>0</v>
      </c>
      <c r="O1203" s="4"/>
      <c r="P1203" s="4"/>
      <c r="Q1203" s="11">
        <v>0</v>
      </c>
      <c r="R1203" s="4"/>
      <c r="S1203" s="12"/>
    </row>
    <row r="1204" spans="1:19" x14ac:dyDescent="0.25">
      <c r="A1204" s="9" t="s">
        <v>445</v>
      </c>
      <c r="B1204" s="9" t="s">
        <v>445</v>
      </c>
      <c r="C1204" s="4">
        <v>201002044</v>
      </c>
      <c r="D1204" s="4"/>
      <c r="E1204" s="4" t="str">
        <f>"040762010"</f>
        <v>040762010</v>
      </c>
      <c r="F1204" s="10">
        <v>40234</v>
      </c>
      <c r="G1204" s="11">
        <v>3043.72</v>
      </c>
      <c r="H1204" s="11">
        <v>3043.72</v>
      </c>
      <c r="I1204" s="4" t="s">
        <v>366</v>
      </c>
      <c r="J1204" s="4" t="s">
        <v>367</v>
      </c>
      <c r="K1204" s="11">
        <v>0</v>
      </c>
      <c r="L1204" s="4"/>
      <c r="M1204" s="4"/>
      <c r="N1204" s="11">
        <v>0</v>
      </c>
      <c r="O1204" s="4"/>
      <c r="P1204" s="4"/>
      <c r="Q1204" s="11">
        <v>0</v>
      </c>
      <c r="R1204" s="4"/>
      <c r="S1204" s="12"/>
    </row>
    <row r="1205" spans="1:19" x14ac:dyDescent="0.25">
      <c r="A1205" s="9" t="s">
        <v>445</v>
      </c>
      <c r="B1205" s="9" t="s">
        <v>445</v>
      </c>
      <c r="C1205" s="4">
        <v>201002055</v>
      </c>
      <c r="D1205" s="4"/>
      <c r="E1205" s="4" t="str">
        <f>"046262010"</f>
        <v>046262010</v>
      </c>
      <c r="F1205" s="10">
        <v>40249</v>
      </c>
      <c r="G1205" s="11">
        <v>4248.34</v>
      </c>
      <c r="H1205" s="11">
        <v>4248.34</v>
      </c>
      <c r="I1205" s="4" t="s">
        <v>366</v>
      </c>
      <c r="J1205" s="4" t="s">
        <v>367</v>
      </c>
      <c r="K1205" s="11">
        <v>0</v>
      </c>
      <c r="L1205" s="4"/>
      <c r="M1205" s="4"/>
      <c r="N1205" s="11">
        <v>0</v>
      </c>
      <c r="O1205" s="4"/>
      <c r="P1205" s="4"/>
      <c r="Q1205" s="11">
        <v>0</v>
      </c>
      <c r="R1205" s="4"/>
      <c r="S1205" s="12"/>
    </row>
    <row r="1206" spans="1:19" x14ac:dyDescent="0.25">
      <c r="A1206" s="9" t="s">
        <v>445</v>
      </c>
      <c r="B1206" s="9" t="s">
        <v>445</v>
      </c>
      <c r="C1206" s="4">
        <v>201002061</v>
      </c>
      <c r="D1206" s="4"/>
      <c r="E1206" s="4" t="str">
        <f>"040222010"</f>
        <v>040222010</v>
      </c>
      <c r="F1206" s="10">
        <v>40232</v>
      </c>
      <c r="G1206" s="11">
        <v>2502.4</v>
      </c>
      <c r="H1206" s="11">
        <v>2502.4</v>
      </c>
      <c r="I1206" s="4" t="s">
        <v>366</v>
      </c>
      <c r="J1206" s="4" t="s">
        <v>367</v>
      </c>
      <c r="K1206" s="11">
        <v>0</v>
      </c>
      <c r="L1206" s="4"/>
      <c r="M1206" s="4"/>
      <c r="N1206" s="11">
        <v>0</v>
      </c>
      <c r="O1206" s="4"/>
      <c r="P1206" s="4"/>
      <c r="Q1206" s="11">
        <v>0</v>
      </c>
      <c r="R1206" s="4"/>
      <c r="S1206" s="12"/>
    </row>
    <row r="1207" spans="1:19" x14ac:dyDescent="0.25">
      <c r="A1207" s="9" t="s">
        <v>445</v>
      </c>
      <c r="B1207" s="9" t="s">
        <v>445</v>
      </c>
      <c r="C1207" s="4">
        <v>201002086</v>
      </c>
      <c r="D1207" s="4"/>
      <c r="E1207" s="4" t="str">
        <f>"041522010"</f>
        <v>041522010</v>
      </c>
      <c r="F1207" s="10">
        <v>40241</v>
      </c>
      <c r="G1207" s="11">
        <v>3273.3</v>
      </c>
      <c r="H1207" s="11">
        <v>3273.3</v>
      </c>
      <c r="I1207" s="4" t="s">
        <v>54</v>
      </c>
      <c r="J1207" s="4" t="s">
        <v>55</v>
      </c>
      <c r="K1207" s="11">
        <v>0</v>
      </c>
      <c r="L1207" s="4"/>
      <c r="M1207" s="4"/>
      <c r="N1207" s="11">
        <v>0</v>
      </c>
      <c r="O1207" s="4"/>
      <c r="P1207" s="4"/>
      <c r="Q1207" s="11">
        <v>0</v>
      </c>
      <c r="R1207" s="4"/>
      <c r="S1207" s="12"/>
    </row>
    <row r="1208" spans="1:19" x14ac:dyDescent="0.25">
      <c r="A1208" s="9" t="s">
        <v>445</v>
      </c>
      <c r="B1208" s="9" t="s">
        <v>445</v>
      </c>
      <c r="C1208" s="4">
        <v>201002133</v>
      </c>
      <c r="D1208" s="4"/>
      <c r="E1208" s="4" t="str">
        <f>"049882010"</f>
        <v>049882010</v>
      </c>
      <c r="F1208" s="10">
        <v>40262</v>
      </c>
      <c r="G1208" s="11">
        <v>2775.35</v>
      </c>
      <c r="H1208" s="11">
        <v>2775.35</v>
      </c>
      <c r="I1208" s="4" t="s">
        <v>366</v>
      </c>
      <c r="J1208" s="4" t="s">
        <v>367</v>
      </c>
      <c r="K1208" s="11">
        <v>0</v>
      </c>
      <c r="L1208" s="4"/>
      <c r="M1208" s="4"/>
      <c r="N1208" s="11">
        <v>0</v>
      </c>
      <c r="O1208" s="4"/>
      <c r="P1208" s="4"/>
      <c r="Q1208" s="11">
        <v>0</v>
      </c>
      <c r="R1208" s="4"/>
      <c r="S1208" s="12"/>
    </row>
    <row r="1209" spans="1:19" x14ac:dyDescent="0.25">
      <c r="A1209" s="9" t="s">
        <v>445</v>
      </c>
      <c r="B1209" s="9" t="s">
        <v>445</v>
      </c>
      <c r="C1209" s="4">
        <v>201002213</v>
      </c>
      <c r="D1209" s="4" t="s">
        <v>1955</v>
      </c>
      <c r="E1209" s="4" t="str">
        <f>"056372010"</f>
        <v>056372010</v>
      </c>
      <c r="F1209" s="10">
        <v>40281</v>
      </c>
      <c r="G1209" s="11">
        <v>550000</v>
      </c>
      <c r="H1209" s="11">
        <v>550000</v>
      </c>
      <c r="I1209" s="4" t="s">
        <v>1859</v>
      </c>
      <c r="J1209" s="4" t="s">
        <v>1860</v>
      </c>
      <c r="K1209" s="11">
        <v>0</v>
      </c>
      <c r="L1209" s="4"/>
      <c r="M1209" s="4"/>
      <c r="N1209" s="11">
        <v>0</v>
      </c>
      <c r="O1209" s="4"/>
      <c r="P1209" s="4"/>
      <c r="Q1209" s="11">
        <v>0</v>
      </c>
      <c r="R1209" s="4"/>
      <c r="S1209" s="12"/>
    </row>
    <row r="1210" spans="1:19" x14ac:dyDescent="0.25">
      <c r="A1210" s="9" t="s">
        <v>445</v>
      </c>
      <c r="B1210" s="9" t="s">
        <v>445</v>
      </c>
      <c r="C1210" s="4">
        <v>201002215</v>
      </c>
      <c r="D1210" s="4"/>
      <c r="E1210" s="4" t="str">
        <f>"045882010"</f>
        <v>045882010</v>
      </c>
      <c r="F1210" s="10">
        <v>40248</v>
      </c>
      <c r="G1210" s="11">
        <v>3807.01</v>
      </c>
      <c r="H1210" s="11">
        <v>3807.01</v>
      </c>
      <c r="I1210" s="4" t="s">
        <v>54</v>
      </c>
      <c r="J1210" s="4" t="s">
        <v>55</v>
      </c>
      <c r="K1210" s="11">
        <v>0</v>
      </c>
      <c r="L1210" s="4"/>
      <c r="M1210" s="4"/>
      <c r="N1210" s="11">
        <v>0</v>
      </c>
      <c r="O1210" s="4"/>
      <c r="P1210" s="4"/>
      <c r="Q1210" s="11">
        <v>0</v>
      </c>
      <c r="R1210" s="4"/>
      <c r="S1210" s="12"/>
    </row>
    <row r="1211" spans="1:19" x14ac:dyDescent="0.25">
      <c r="A1211" s="9" t="s">
        <v>445</v>
      </c>
      <c r="B1211" s="9" t="s">
        <v>445</v>
      </c>
      <c r="C1211" s="4">
        <v>201002365</v>
      </c>
      <c r="D1211" s="4"/>
      <c r="E1211" s="4" t="str">
        <f>"047802010"</f>
        <v>047802010</v>
      </c>
      <c r="F1211" s="10">
        <v>40254</v>
      </c>
      <c r="G1211" s="11">
        <v>37742.449999999997</v>
      </c>
      <c r="H1211" s="11">
        <v>37742.449999999997</v>
      </c>
      <c r="I1211" s="4" t="s">
        <v>366</v>
      </c>
      <c r="J1211" s="4" t="s">
        <v>367</v>
      </c>
      <c r="K1211" s="11">
        <v>0</v>
      </c>
      <c r="L1211" s="4"/>
      <c r="M1211" s="4"/>
      <c r="N1211" s="11">
        <v>0</v>
      </c>
      <c r="O1211" s="4"/>
      <c r="P1211" s="4"/>
      <c r="Q1211" s="11">
        <v>0</v>
      </c>
      <c r="R1211" s="4"/>
      <c r="S1211" s="12"/>
    </row>
    <row r="1212" spans="1:19" x14ac:dyDescent="0.25">
      <c r="A1212" s="9" t="s">
        <v>445</v>
      </c>
      <c r="B1212" s="9" t="s">
        <v>445</v>
      </c>
      <c r="C1212" s="4">
        <v>201002367</v>
      </c>
      <c r="D1212" s="4"/>
      <c r="E1212" s="4" t="str">
        <f>"047582010"</f>
        <v>047582010</v>
      </c>
      <c r="F1212" s="10">
        <v>40253</v>
      </c>
      <c r="G1212" s="11">
        <v>3511.1</v>
      </c>
      <c r="H1212" s="11">
        <v>3511.1</v>
      </c>
      <c r="I1212" s="4" t="s">
        <v>366</v>
      </c>
      <c r="J1212" s="4" t="s">
        <v>367</v>
      </c>
      <c r="K1212" s="11">
        <v>0</v>
      </c>
      <c r="L1212" s="4"/>
      <c r="M1212" s="4"/>
      <c r="N1212" s="11">
        <v>0</v>
      </c>
      <c r="O1212" s="4"/>
      <c r="P1212" s="4"/>
      <c r="Q1212" s="11">
        <v>0</v>
      </c>
      <c r="R1212" s="4"/>
      <c r="S1212" s="12"/>
    </row>
    <row r="1213" spans="1:19" x14ac:dyDescent="0.25">
      <c r="A1213" s="9" t="s">
        <v>445</v>
      </c>
      <c r="B1213" s="9" t="s">
        <v>445</v>
      </c>
      <c r="C1213" s="4">
        <v>201002370</v>
      </c>
      <c r="D1213" s="4"/>
      <c r="E1213" s="4" t="str">
        <f>"047562010"</f>
        <v>047562010</v>
      </c>
      <c r="F1213" s="10">
        <v>40253</v>
      </c>
      <c r="G1213" s="11">
        <v>6947.93</v>
      </c>
      <c r="H1213" s="11">
        <v>6947.93</v>
      </c>
      <c r="I1213" s="4" t="s">
        <v>366</v>
      </c>
      <c r="J1213" s="4" t="s">
        <v>367</v>
      </c>
      <c r="K1213" s="11">
        <v>0</v>
      </c>
      <c r="L1213" s="4"/>
      <c r="M1213" s="4"/>
      <c r="N1213" s="11">
        <v>0</v>
      </c>
      <c r="O1213" s="4"/>
      <c r="P1213" s="4"/>
      <c r="Q1213" s="11">
        <v>0</v>
      </c>
      <c r="R1213" s="4"/>
      <c r="S1213" s="12"/>
    </row>
    <row r="1214" spans="1:19" x14ac:dyDescent="0.25">
      <c r="A1214" s="9" t="s">
        <v>445</v>
      </c>
      <c r="B1214" s="9" t="s">
        <v>445</v>
      </c>
      <c r="C1214" s="4">
        <v>201002464</v>
      </c>
      <c r="D1214" s="4"/>
      <c r="E1214" s="4" t="str">
        <f>"048872010"</f>
        <v>048872010</v>
      </c>
      <c r="F1214" s="10">
        <v>40259</v>
      </c>
      <c r="G1214" s="11">
        <v>6089.18</v>
      </c>
      <c r="H1214" s="11">
        <v>6089.18</v>
      </c>
      <c r="I1214" s="4" t="s">
        <v>366</v>
      </c>
      <c r="J1214" s="4" t="s">
        <v>367</v>
      </c>
      <c r="K1214" s="11">
        <v>0</v>
      </c>
      <c r="L1214" s="4"/>
      <c r="M1214" s="4"/>
      <c r="N1214" s="11">
        <v>0</v>
      </c>
      <c r="O1214" s="4"/>
      <c r="P1214" s="4"/>
      <c r="Q1214" s="11">
        <v>0</v>
      </c>
      <c r="R1214" s="4"/>
      <c r="S1214" s="12"/>
    </row>
    <row r="1215" spans="1:19" x14ac:dyDescent="0.25">
      <c r="A1215" s="9" t="s">
        <v>445</v>
      </c>
      <c r="B1215" s="9" t="s">
        <v>445</v>
      </c>
      <c r="C1215" s="4">
        <v>201002467</v>
      </c>
      <c r="D1215" s="4"/>
      <c r="E1215" s="4" t="str">
        <f>"049182010"</f>
        <v>049182010</v>
      </c>
      <c r="F1215" s="10">
        <v>40262</v>
      </c>
      <c r="G1215" s="11">
        <v>4185.33</v>
      </c>
      <c r="H1215" s="11">
        <v>4185.33</v>
      </c>
      <c r="I1215" s="4" t="s">
        <v>54</v>
      </c>
      <c r="J1215" s="4" t="s">
        <v>55</v>
      </c>
      <c r="K1215" s="11">
        <v>0</v>
      </c>
      <c r="L1215" s="4"/>
      <c r="M1215" s="4"/>
      <c r="N1215" s="11">
        <v>0</v>
      </c>
      <c r="O1215" s="4"/>
      <c r="P1215" s="4"/>
      <c r="Q1215" s="11">
        <v>0</v>
      </c>
      <c r="R1215" s="4"/>
      <c r="S1215" s="12"/>
    </row>
    <row r="1216" spans="1:19" x14ac:dyDescent="0.25">
      <c r="A1216" s="9" t="s">
        <v>445</v>
      </c>
      <c r="B1216" s="9" t="s">
        <v>445</v>
      </c>
      <c r="C1216" s="4">
        <v>201002588</v>
      </c>
      <c r="D1216" s="4"/>
      <c r="E1216" s="4" t="str">
        <f>"051282010"</f>
        <v>051282010</v>
      </c>
      <c r="F1216" s="10">
        <v>40263</v>
      </c>
      <c r="G1216" s="11">
        <v>6851</v>
      </c>
      <c r="H1216" s="11">
        <v>6851</v>
      </c>
      <c r="I1216" s="4" t="s">
        <v>366</v>
      </c>
      <c r="J1216" s="4" t="s">
        <v>367</v>
      </c>
      <c r="K1216" s="11">
        <v>0</v>
      </c>
      <c r="L1216" s="4"/>
      <c r="M1216" s="4"/>
      <c r="N1216" s="11">
        <v>0</v>
      </c>
      <c r="O1216" s="4"/>
      <c r="P1216" s="4"/>
      <c r="Q1216" s="11">
        <v>0</v>
      </c>
      <c r="R1216" s="4"/>
      <c r="S1216" s="12"/>
    </row>
    <row r="1217" spans="1:19" x14ac:dyDescent="0.25">
      <c r="A1217" s="9" t="s">
        <v>445</v>
      </c>
      <c r="B1217" s="9" t="s">
        <v>445</v>
      </c>
      <c r="C1217" s="4">
        <v>201002589</v>
      </c>
      <c r="D1217" s="4"/>
      <c r="E1217" s="4" t="str">
        <f>"056292010"</f>
        <v>056292010</v>
      </c>
      <c r="F1217" s="10">
        <v>40275</v>
      </c>
      <c r="G1217" s="11">
        <v>12296.27</v>
      </c>
      <c r="H1217" s="11">
        <v>12296.27</v>
      </c>
      <c r="I1217" s="4" t="s">
        <v>366</v>
      </c>
      <c r="J1217" s="4" t="s">
        <v>367</v>
      </c>
      <c r="K1217" s="11">
        <v>0</v>
      </c>
      <c r="L1217" s="4"/>
      <c r="M1217" s="4"/>
      <c r="N1217" s="11">
        <v>0</v>
      </c>
      <c r="O1217" s="4"/>
      <c r="P1217" s="4"/>
      <c r="Q1217" s="11">
        <v>0</v>
      </c>
      <c r="R1217" s="4"/>
      <c r="S1217" s="12"/>
    </row>
    <row r="1218" spans="1:19" x14ac:dyDescent="0.25">
      <c r="A1218" s="9" t="s">
        <v>445</v>
      </c>
      <c r="B1218" s="9" t="s">
        <v>445</v>
      </c>
      <c r="C1218" s="4">
        <v>201002594</v>
      </c>
      <c r="D1218" s="4"/>
      <c r="E1218" s="4" t="str">
        <f>"051502010"</f>
        <v>051502010</v>
      </c>
      <c r="F1218" s="10">
        <v>40263</v>
      </c>
      <c r="G1218" s="11">
        <v>4753.12</v>
      </c>
      <c r="H1218" s="11">
        <v>4753.12</v>
      </c>
      <c r="I1218" s="4" t="s">
        <v>366</v>
      </c>
      <c r="J1218" s="4" t="s">
        <v>367</v>
      </c>
      <c r="K1218" s="11">
        <v>0</v>
      </c>
      <c r="L1218" s="4"/>
      <c r="M1218" s="4"/>
      <c r="N1218" s="11">
        <v>0</v>
      </c>
      <c r="O1218" s="4"/>
      <c r="P1218" s="4"/>
      <c r="Q1218" s="11">
        <v>0</v>
      </c>
      <c r="R1218" s="4"/>
      <c r="S1218" s="12"/>
    </row>
    <row r="1219" spans="1:19" x14ac:dyDescent="0.25">
      <c r="A1219" s="9" t="s">
        <v>445</v>
      </c>
      <c r="B1219" s="9" t="s">
        <v>445</v>
      </c>
      <c r="C1219" s="4">
        <v>201002637</v>
      </c>
      <c r="D1219" s="4"/>
      <c r="E1219" s="4" t="str">
        <f>"064502010"</f>
        <v>064502010</v>
      </c>
      <c r="F1219" s="10">
        <v>40302</v>
      </c>
      <c r="G1219" s="11">
        <v>28000</v>
      </c>
      <c r="H1219" s="11">
        <v>28000</v>
      </c>
      <c r="I1219" s="4" t="s">
        <v>687</v>
      </c>
      <c r="J1219" s="4" t="s">
        <v>688</v>
      </c>
      <c r="K1219" s="11">
        <v>0</v>
      </c>
      <c r="L1219" s="4"/>
      <c r="M1219" s="4"/>
      <c r="N1219" s="11">
        <v>0</v>
      </c>
      <c r="O1219" s="4"/>
      <c r="P1219" s="4"/>
      <c r="Q1219" s="11">
        <v>0</v>
      </c>
      <c r="R1219" s="4"/>
      <c r="S1219" s="12"/>
    </row>
    <row r="1220" spans="1:19" x14ac:dyDescent="0.25">
      <c r="A1220" s="9" t="s">
        <v>445</v>
      </c>
      <c r="B1220" s="9" t="s">
        <v>445</v>
      </c>
      <c r="C1220" s="4">
        <v>201002645</v>
      </c>
      <c r="D1220" s="4" t="s">
        <v>1956</v>
      </c>
      <c r="E1220" s="4" t="str">
        <f>"052242010"</f>
        <v>052242010</v>
      </c>
      <c r="F1220" s="10">
        <v>40266</v>
      </c>
      <c r="G1220" s="11">
        <v>10000</v>
      </c>
      <c r="H1220" s="11">
        <v>10000</v>
      </c>
      <c r="I1220" s="4" t="s">
        <v>366</v>
      </c>
      <c r="J1220" s="4" t="s">
        <v>367</v>
      </c>
      <c r="K1220" s="11">
        <v>0</v>
      </c>
      <c r="L1220" s="4"/>
      <c r="M1220" s="4"/>
      <c r="N1220" s="11">
        <v>0</v>
      </c>
      <c r="O1220" s="4"/>
      <c r="P1220" s="4"/>
      <c r="Q1220" s="11">
        <v>0</v>
      </c>
      <c r="R1220" s="4"/>
      <c r="S1220" s="12"/>
    </row>
    <row r="1221" spans="1:19" x14ac:dyDescent="0.25">
      <c r="A1221" s="9" t="s">
        <v>445</v>
      </c>
      <c r="B1221" s="9" t="s">
        <v>445</v>
      </c>
      <c r="C1221" s="4">
        <v>201002689</v>
      </c>
      <c r="D1221" s="4"/>
      <c r="E1221" s="4" t="str">
        <f>"055452010"</f>
        <v>055452010</v>
      </c>
      <c r="F1221" s="10">
        <v>40275</v>
      </c>
      <c r="G1221" s="11">
        <v>6866.81</v>
      </c>
      <c r="H1221" s="11">
        <v>6866.81</v>
      </c>
      <c r="I1221" s="4" t="s">
        <v>366</v>
      </c>
      <c r="J1221" s="4" t="s">
        <v>367</v>
      </c>
      <c r="K1221" s="11">
        <v>0</v>
      </c>
      <c r="L1221" s="4"/>
      <c r="M1221" s="4"/>
      <c r="N1221" s="11">
        <v>0</v>
      </c>
      <c r="O1221" s="4"/>
      <c r="P1221" s="4"/>
      <c r="Q1221" s="11">
        <v>0</v>
      </c>
      <c r="R1221" s="4"/>
      <c r="S1221" s="12"/>
    </row>
    <row r="1222" spans="1:19" x14ac:dyDescent="0.25">
      <c r="A1222" s="9" t="s">
        <v>445</v>
      </c>
      <c r="B1222" s="9" t="s">
        <v>445</v>
      </c>
      <c r="C1222" s="4">
        <v>201002703</v>
      </c>
      <c r="D1222" s="4" t="s">
        <v>1957</v>
      </c>
      <c r="E1222" s="4" t="str">
        <f>"053182010"</f>
        <v>053182010</v>
      </c>
      <c r="F1222" s="10">
        <v>40273</v>
      </c>
      <c r="G1222" s="11">
        <v>7000</v>
      </c>
      <c r="H1222" s="11">
        <v>7000</v>
      </c>
      <c r="I1222" s="4" t="s">
        <v>366</v>
      </c>
      <c r="J1222" s="4" t="s">
        <v>367</v>
      </c>
      <c r="K1222" s="11">
        <v>0</v>
      </c>
      <c r="L1222" s="4"/>
      <c r="M1222" s="4"/>
      <c r="N1222" s="11">
        <v>0</v>
      </c>
      <c r="O1222" s="4"/>
      <c r="P1222" s="4"/>
      <c r="Q1222" s="11">
        <v>0</v>
      </c>
      <c r="R1222" s="4"/>
      <c r="S1222" s="12"/>
    </row>
    <row r="1223" spans="1:19" x14ac:dyDescent="0.25">
      <c r="A1223" s="9" t="s">
        <v>445</v>
      </c>
      <c r="B1223" s="9" t="s">
        <v>445</v>
      </c>
      <c r="C1223" s="4">
        <v>201002726</v>
      </c>
      <c r="D1223" s="4"/>
      <c r="E1223" s="4" t="str">
        <f>"053362010"</f>
        <v>053362010</v>
      </c>
      <c r="F1223" s="10">
        <v>40274</v>
      </c>
      <c r="G1223" s="11">
        <v>4933.13</v>
      </c>
      <c r="H1223" s="11">
        <v>4933.13</v>
      </c>
      <c r="I1223" s="4" t="s">
        <v>366</v>
      </c>
      <c r="J1223" s="4" t="s">
        <v>367</v>
      </c>
      <c r="K1223" s="11">
        <v>0</v>
      </c>
      <c r="L1223" s="4"/>
      <c r="M1223" s="4"/>
      <c r="N1223" s="11">
        <v>0</v>
      </c>
      <c r="O1223" s="4"/>
      <c r="P1223" s="4"/>
      <c r="Q1223" s="11">
        <v>0</v>
      </c>
      <c r="R1223" s="4"/>
      <c r="S1223" s="12"/>
    </row>
    <row r="1224" spans="1:19" x14ac:dyDescent="0.25">
      <c r="A1224" s="9" t="s">
        <v>445</v>
      </c>
      <c r="B1224" s="9" t="s">
        <v>445</v>
      </c>
      <c r="C1224" s="4">
        <v>201002732</v>
      </c>
      <c r="D1224" s="4" t="s">
        <v>451</v>
      </c>
      <c r="E1224" s="4" t="str">
        <f>"053822010"</f>
        <v>053822010</v>
      </c>
      <c r="F1224" s="10">
        <v>40270</v>
      </c>
      <c r="G1224" s="11">
        <v>45000</v>
      </c>
      <c r="H1224" s="11">
        <v>45000</v>
      </c>
      <c r="I1224" s="4" t="s">
        <v>687</v>
      </c>
      <c r="J1224" s="4" t="s">
        <v>688</v>
      </c>
      <c r="K1224" s="11">
        <v>0</v>
      </c>
      <c r="L1224" s="4"/>
      <c r="M1224" s="4"/>
      <c r="N1224" s="11">
        <v>0</v>
      </c>
      <c r="O1224" s="4"/>
      <c r="P1224" s="4"/>
      <c r="Q1224" s="11">
        <v>0</v>
      </c>
      <c r="R1224" s="4"/>
      <c r="S1224" s="12"/>
    </row>
    <row r="1225" spans="1:19" x14ac:dyDescent="0.25">
      <c r="A1225" s="9" t="s">
        <v>445</v>
      </c>
      <c r="B1225" s="9" t="s">
        <v>445</v>
      </c>
      <c r="C1225" s="4">
        <v>201002761</v>
      </c>
      <c r="D1225" s="4"/>
      <c r="E1225" s="4" t="str">
        <f>"054582010"</f>
        <v>054582010</v>
      </c>
      <c r="F1225" s="10">
        <v>40274</v>
      </c>
      <c r="G1225" s="11">
        <v>11112.8</v>
      </c>
      <c r="H1225" s="11">
        <v>11112.8</v>
      </c>
      <c r="I1225" s="4" t="s">
        <v>366</v>
      </c>
      <c r="J1225" s="4" t="s">
        <v>367</v>
      </c>
      <c r="K1225" s="11">
        <v>0</v>
      </c>
      <c r="L1225" s="4"/>
      <c r="M1225" s="4"/>
      <c r="N1225" s="11">
        <v>0</v>
      </c>
      <c r="O1225" s="4"/>
      <c r="P1225" s="4"/>
      <c r="Q1225" s="11">
        <v>0</v>
      </c>
      <c r="R1225" s="4"/>
      <c r="S1225" s="12"/>
    </row>
    <row r="1226" spans="1:19" x14ac:dyDescent="0.25">
      <c r="A1226" s="9" t="s">
        <v>445</v>
      </c>
      <c r="B1226" s="9" t="s">
        <v>445</v>
      </c>
      <c r="C1226" s="4">
        <v>201002871</v>
      </c>
      <c r="D1226" s="4"/>
      <c r="E1226" s="4" t="str">
        <f>"056912010"</f>
        <v>056912010</v>
      </c>
      <c r="F1226" s="10">
        <v>40277</v>
      </c>
      <c r="G1226" s="11">
        <v>5165.1899999999996</v>
      </c>
      <c r="H1226" s="11">
        <v>5165.1899999999996</v>
      </c>
      <c r="I1226" s="4" t="s">
        <v>366</v>
      </c>
      <c r="J1226" s="4" t="s">
        <v>367</v>
      </c>
      <c r="K1226" s="11">
        <v>0</v>
      </c>
      <c r="L1226" s="4"/>
      <c r="M1226" s="4"/>
      <c r="N1226" s="11">
        <v>0</v>
      </c>
      <c r="O1226" s="4"/>
      <c r="P1226" s="4"/>
      <c r="Q1226" s="11">
        <v>0</v>
      </c>
      <c r="R1226" s="4"/>
      <c r="S1226" s="12"/>
    </row>
    <row r="1227" spans="1:19" x14ac:dyDescent="0.25">
      <c r="A1227" s="9" t="s">
        <v>445</v>
      </c>
      <c r="B1227" s="9" t="s">
        <v>445</v>
      </c>
      <c r="C1227" s="4">
        <v>201002873</v>
      </c>
      <c r="D1227" s="4" t="s">
        <v>1958</v>
      </c>
      <c r="E1227" s="4" t="str">
        <f>"059872010"</f>
        <v>059872010</v>
      </c>
      <c r="F1227" s="10">
        <v>40288</v>
      </c>
      <c r="G1227" s="11">
        <v>66897</v>
      </c>
      <c r="H1227" s="11">
        <v>66897</v>
      </c>
      <c r="I1227" s="4" t="s">
        <v>54</v>
      </c>
      <c r="J1227" s="4" t="s">
        <v>55</v>
      </c>
      <c r="K1227" s="11">
        <v>0</v>
      </c>
      <c r="L1227" s="4"/>
      <c r="M1227" s="4"/>
      <c r="N1227" s="11">
        <v>0</v>
      </c>
      <c r="O1227" s="4"/>
      <c r="P1227" s="4"/>
      <c r="Q1227" s="11">
        <v>0</v>
      </c>
      <c r="R1227" s="4"/>
      <c r="S1227" s="12"/>
    </row>
    <row r="1228" spans="1:19" x14ac:dyDescent="0.25">
      <c r="A1228" s="9" t="s">
        <v>445</v>
      </c>
      <c r="B1228" s="9" t="s">
        <v>445</v>
      </c>
      <c r="C1228" s="4">
        <v>201002878</v>
      </c>
      <c r="D1228" s="4"/>
      <c r="E1228" s="4" t="str">
        <f>"057522010"</f>
        <v>057522010</v>
      </c>
      <c r="F1228" s="10">
        <v>40295</v>
      </c>
      <c r="G1228" s="11">
        <v>169568.94</v>
      </c>
      <c r="H1228" s="11">
        <v>169568.94</v>
      </c>
      <c r="I1228" s="4" t="s">
        <v>1752</v>
      </c>
      <c r="J1228" s="4" t="s">
        <v>1753</v>
      </c>
      <c r="K1228" s="11">
        <v>0</v>
      </c>
      <c r="L1228" s="4"/>
      <c r="M1228" s="4"/>
      <c r="N1228" s="11">
        <v>0</v>
      </c>
      <c r="O1228" s="4"/>
      <c r="P1228" s="4"/>
      <c r="Q1228" s="11">
        <v>0</v>
      </c>
      <c r="R1228" s="4"/>
      <c r="S1228" s="12"/>
    </row>
    <row r="1229" spans="1:19" x14ac:dyDescent="0.25">
      <c r="A1229" s="9" t="s">
        <v>445</v>
      </c>
      <c r="B1229" s="9" t="s">
        <v>445</v>
      </c>
      <c r="C1229" s="4">
        <v>201002944</v>
      </c>
      <c r="D1229" s="4"/>
      <c r="E1229" s="4" t="str">
        <f>"059252010"</f>
        <v>059252010</v>
      </c>
      <c r="F1229" s="10">
        <v>40284</v>
      </c>
      <c r="G1229" s="11">
        <v>2738.13</v>
      </c>
      <c r="H1229" s="11">
        <v>2738.13</v>
      </c>
      <c r="I1229" s="4" t="s">
        <v>366</v>
      </c>
      <c r="J1229" s="4" t="s">
        <v>367</v>
      </c>
      <c r="K1229" s="11">
        <v>0</v>
      </c>
      <c r="L1229" s="4"/>
      <c r="M1229" s="4"/>
      <c r="N1229" s="11">
        <v>0</v>
      </c>
      <c r="O1229" s="4"/>
      <c r="P1229" s="4"/>
      <c r="Q1229" s="11">
        <v>0</v>
      </c>
      <c r="R1229" s="4"/>
      <c r="S1229" s="12"/>
    </row>
    <row r="1230" spans="1:19" x14ac:dyDescent="0.25">
      <c r="A1230" s="9" t="s">
        <v>445</v>
      </c>
      <c r="B1230" s="9" t="s">
        <v>445</v>
      </c>
      <c r="C1230" s="4">
        <v>201002945</v>
      </c>
      <c r="D1230" s="4"/>
      <c r="E1230" s="4" t="str">
        <f>"098322010"</f>
        <v>098322010</v>
      </c>
      <c r="F1230" s="10">
        <v>40394</v>
      </c>
      <c r="G1230" s="11">
        <v>3204.52</v>
      </c>
      <c r="H1230" s="11">
        <v>3204.52</v>
      </c>
      <c r="I1230" s="4" t="s">
        <v>366</v>
      </c>
      <c r="J1230" s="4" t="s">
        <v>367</v>
      </c>
      <c r="K1230" s="11">
        <v>0</v>
      </c>
      <c r="L1230" s="4"/>
      <c r="M1230" s="4"/>
      <c r="N1230" s="11">
        <v>0</v>
      </c>
      <c r="O1230" s="4"/>
      <c r="P1230" s="4"/>
      <c r="Q1230" s="11">
        <v>0</v>
      </c>
      <c r="R1230" s="4"/>
      <c r="S1230" s="12"/>
    </row>
    <row r="1231" spans="1:19" x14ac:dyDescent="0.25">
      <c r="A1231" s="9" t="s">
        <v>445</v>
      </c>
      <c r="B1231" s="9" t="s">
        <v>445</v>
      </c>
      <c r="C1231" s="4">
        <v>201002983</v>
      </c>
      <c r="D1231" s="4"/>
      <c r="E1231" s="4" t="str">
        <f>"061802010"</f>
        <v>061802010</v>
      </c>
      <c r="F1231" s="10">
        <v>40295</v>
      </c>
      <c r="G1231" s="11">
        <v>5646.49</v>
      </c>
      <c r="H1231" s="11">
        <v>5646.49</v>
      </c>
      <c r="I1231" s="4" t="s">
        <v>366</v>
      </c>
      <c r="J1231" s="4" t="s">
        <v>367</v>
      </c>
      <c r="K1231" s="11">
        <v>0</v>
      </c>
      <c r="L1231" s="4"/>
      <c r="M1231" s="4"/>
      <c r="N1231" s="11">
        <v>0</v>
      </c>
      <c r="O1231" s="4"/>
      <c r="P1231" s="4"/>
      <c r="Q1231" s="11">
        <v>0</v>
      </c>
      <c r="R1231" s="4"/>
      <c r="S1231" s="12"/>
    </row>
    <row r="1232" spans="1:19" x14ac:dyDescent="0.25">
      <c r="A1232" s="9" t="s">
        <v>445</v>
      </c>
      <c r="B1232" s="9" t="s">
        <v>445</v>
      </c>
      <c r="C1232" s="4">
        <v>201003038</v>
      </c>
      <c r="D1232" s="4"/>
      <c r="E1232" s="4" t="str">
        <f>"060042010"</f>
        <v>060042010</v>
      </c>
      <c r="F1232" s="10">
        <v>40289</v>
      </c>
      <c r="G1232" s="11">
        <v>2857.92</v>
      </c>
      <c r="H1232" s="11">
        <v>2857.92</v>
      </c>
      <c r="I1232" s="4" t="s">
        <v>366</v>
      </c>
      <c r="J1232" s="4" t="s">
        <v>367</v>
      </c>
      <c r="K1232" s="11">
        <v>0</v>
      </c>
      <c r="L1232" s="4"/>
      <c r="M1232" s="4"/>
      <c r="N1232" s="11">
        <v>0</v>
      </c>
      <c r="O1232" s="4"/>
      <c r="P1232" s="4"/>
      <c r="Q1232" s="11">
        <v>0</v>
      </c>
      <c r="R1232" s="4"/>
      <c r="S1232" s="12"/>
    </row>
    <row r="1233" spans="1:19" x14ac:dyDescent="0.25">
      <c r="A1233" s="9" t="s">
        <v>445</v>
      </c>
      <c r="B1233" s="9" t="s">
        <v>445</v>
      </c>
      <c r="C1233" s="4">
        <v>201003080</v>
      </c>
      <c r="D1233" s="4"/>
      <c r="E1233" s="4" t="str">
        <f>"061402010"</f>
        <v>061402010</v>
      </c>
      <c r="F1233" s="10">
        <v>40291</v>
      </c>
      <c r="G1233" s="11">
        <v>3864.3</v>
      </c>
      <c r="H1233" s="11">
        <v>3864.3</v>
      </c>
      <c r="I1233" s="4" t="s">
        <v>366</v>
      </c>
      <c r="J1233" s="4" t="s">
        <v>367</v>
      </c>
      <c r="K1233" s="11">
        <v>0</v>
      </c>
      <c r="L1233" s="4"/>
      <c r="M1233" s="4"/>
      <c r="N1233" s="11">
        <v>0</v>
      </c>
      <c r="O1233" s="4"/>
      <c r="P1233" s="4"/>
      <c r="Q1233" s="11">
        <v>0</v>
      </c>
      <c r="R1233" s="4"/>
      <c r="S1233" s="12"/>
    </row>
    <row r="1234" spans="1:19" x14ac:dyDescent="0.25">
      <c r="A1234" s="9" t="s">
        <v>445</v>
      </c>
      <c r="B1234" s="9" t="s">
        <v>445</v>
      </c>
      <c r="C1234" s="4">
        <v>201003145</v>
      </c>
      <c r="D1234" s="4"/>
      <c r="E1234" s="4" t="str">
        <f>"067042010"</f>
        <v>067042010</v>
      </c>
      <c r="F1234" s="10">
        <v>40310</v>
      </c>
      <c r="G1234" s="11">
        <v>3467.77</v>
      </c>
      <c r="H1234" s="11">
        <v>3467.77</v>
      </c>
      <c r="I1234" s="4" t="s">
        <v>366</v>
      </c>
      <c r="J1234" s="4" t="s">
        <v>367</v>
      </c>
      <c r="K1234" s="11">
        <v>0</v>
      </c>
      <c r="L1234" s="4"/>
      <c r="M1234" s="4"/>
      <c r="N1234" s="11">
        <v>0</v>
      </c>
      <c r="O1234" s="4"/>
      <c r="P1234" s="4"/>
      <c r="Q1234" s="11">
        <v>0</v>
      </c>
      <c r="R1234" s="4"/>
      <c r="S1234" s="12"/>
    </row>
    <row r="1235" spans="1:19" x14ac:dyDescent="0.25">
      <c r="A1235" s="9" t="s">
        <v>445</v>
      </c>
      <c r="B1235" s="9" t="s">
        <v>445</v>
      </c>
      <c r="C1235" s="4">
        <v>201003188</v>
      </c>
      <c r="D1235" s="4"/>
      <c r="E1235" s="4" t="str">
        <f>"067022010"</f>
        <v>067022010</v>
      </c>
      <c r="F1235" s="10">
        <v>40310</v>
      </c>
      <c r="G1235" s="11">
        <v>3689.87</v>
      </c>
      <c r="H1235" s="11">
        <v>3689.87</v>
      </c>
      <c r="I1235" s="4" t="s">
        <v>366</v>
      </c>
      <c r="J1235" s="4" t="s">
        <v>367</v>
      </c>
      <c r="K1235" s="11">
        <v>0</v>
      </c>
      <c r="L1235" s="4"/>
      <c r="M1235" s="4"/>
      <c r="N1235" s="11">
        <v>0</v>
      </c>
      <c r="O1235" s="4"/>
      <c r="P1235" s="4"/>
      <c r="Q1235" s="11">
        <v>0</v>
      </c>
      <c r="R1235" s="4"/>
      <c r="S1235" s="12"/>
    </row>
    <row r="1236" spans="1:19" x14ac:dyDescent="0.25">
      <c r="A1236" s="9" t="s">
        <v>445</v>
      </c>
      <c r="B1236" s="9" t="s">
        <v>445</v>
      </c>
      <c r="C1236" s="4">
        <v>201003193</v>
      </c>
      <c r="D1236" s="4"/>
      <c r="E1236" s="4" t="str">
        <f>"063442010"</f>
        <v>063442010</v>
      </c>
      <c r="F1236" s="10">
        <v>40297</v>
      </c>
      <c r="G1236" s="11">
        <v>3106.42</v>
      </c>
      <c r="H1236" s="11">
        <v>3106.42</v>
      </c>
      <c r="I1236" s="4" t="s">
        <v>366</v>
      </c>
      <c r="J1236" s="4" t="s">
        <v>367</v>
      </c>
      <c r="K1236" s="11">
        <v>0</v>
      </c>
      <c r="L1236" s="4"/>
      <c r="M1236" s="4"/>
      <c r="N1236" s="11">
        <v>0</v>
      </c>
      <c r="O1236" s="4"/>
      <c r="P1236" s="4"/>
      <c r="Q1236" s="11">
        <v>0</v>
      </c>
      <c r="R1236" s="4"/>
      <c r="S1236" s="12"/>
    </row>
    <row r="1237" spans="1:19" x14ac:dyDescent="0.25">
      <c r="A1237" s="9" t="s">
        <v>445</v>
      </c>
      <c r="B1237" s="9" t="s">
        <v>445</v>
      </c>
      <c r="C1237" s="4">
        <v>201003211</v>
      </c>
      <c r="D1237" s="4"/>
      <c r="E1237" s="4" t="str">
        <f>"063822010"</f>
        <v>063822010</v>
      </c>
      <c r="F1237" s="10">
        <v>40302</v>
      </c>
      <c r="G1237" s="11">
        <v>6772.6</v>
      </c>
      <c r="H1237" s="11">
        <v>6772.6</v>
      </c>
      <c r="I1237" s="4" t="s">
        <v>366</v>
      </c>
      <c r="J1237" s="4" t="s">
        <v>367</v>
      </c>
      <c r="K1237" s="11">
        <v>0</v>
      </c>
      <c r="L1237" s="4"/>
      <c r="M1237" s="4"/>
      <c r="N1237" s="11">
        <v>0</v>
      </c>
      <c r="O1237" s="4"/>
      <c r="P1237" s="4"/>
      <c r="Q1237" s="11">
        <v>0</v>
      </c>
      <c r="R1237" s="4"/>
      <c r="S1237" s="12"/>
    </row>
    <row r="1238" spans="1:19" x14ac:dyDescent="0.25">
      <c r="A1238" s="9" t="s">
        <v>445</v>
      </c>
      <c r="B1238" s="9" t="s">
        <v>445</v>
      </c>
      <c r="C1238" s="4">
        <v>201003217</v>
      </c>
      <c r="D1238" s="4"/>
      <c r="E1238" s="4" t="str">
        <f>"063862010"</f>
        <v>063862010</v>
      </c>
      <c r="F1238" s="10">
        <v>40302</v>
      </c>
      <c r="G1238" s="11">
        <v>3491.73</v>
      </c>
      <c r="H1238" s="11">
        <v>3491.73</v>
      </c>
      <c r="I1238" s="4" t="s">
        <v>54</v>
      </c>
      <c r="J1238" s="4" t="s">
        <v>55</v>
      </c>
      <c r="K1238" s="11">
        <v>0</v>
      </c>
      <c r="L1238" s="4"/>
      <c r="M1238" s="4"/>
      <c r="N1238" s="11">
        <v>0</v>
      </c>
      <c r="O1238" s="4"/>
      <c r="P1238" s="4"/>
      <c r="Q1238" s="11">
        <v>0</v>
      </c>
      <c r="R1238" s="4"/>
      <c r="S1238" s="12"/>
    </row>
    <row r="1239" spans="1:19" x14ac:dyDescent="0.25">
      <c r="A1239" s="9" t="s">
        <v>445</v>
      </c>
      <c r="B1239" s="9" t="s">
        <v>445</v>
      </c>
      <c r="C1239" s="4">
        <v>201003240</v>
      </c>
      <c r="D1239" s="4" t="s">
        <v>451</v>
      </c>
      <c r="E1239" s="4" t="str">
        <f>"064632010"</f>
        <v>064632010</v>
      </c>
      <c r="F1239" s="10">
        <v>40302</v>
      </c>
      <c r="G1239" s="11">
        <v>15000</v>
      </c>
      <c r="H1239" s="11">
        <v>15000</v>
      </c>
      <c r="I1239" s="4" t="s">
        <v>687</v>
      </c>
      <c r="J1239" s="4" t="s">
        <v>688</v>
      </c>
      <c r="K1239" s="11">
        <v>0</v>
      </c>
      <c r="L1239" s="4"/>
      <c r="M1239" s="4"/>
      <c r="N1239" s="11">
        <v>0</v>
      </c>
      <c r="O1239" s="4"/>
      <c r="P1239" s="4"/>
      <c r="Q1239" s="11">
        <v>0</v>
      </c>
      <c r="R1239" s="4"/>
      <c r="S1239" s="12"/>
    </row>
    <row r="1240" spans="1:19" x14ac:dyDescent="0.25">
      <c r="A1240" s="9" t="s">
        <v>445</v>
      </c>
      <c r="B1240" s="9" t="s">
        <v>445</v>
      </c>
      <c r="C1240" s="4">
        <v>201003323</v>
      </c>
      <c r="D1240" s="4"/>
      <c r="E1240" s="4" t="str">
        <f>"066442010"</f>
        <v>066442010</v>
      </c>
      <c r="F1240" s="10">
        <v>40308</v>
      </c>
      <c r="G1240" s="11">
        <v>5344.96</v>
      </c>
      <c r="H1240" s="11">
        <v>5344.96</v>
      </c>
      <c r="I1240" s="4" t="s">
        <v>366</v>
      </c>
      <c r="J1240" s="4" t="s">
        <v>367</v>
      </c>
      <c r="K1240" s="11">
        <v>0</v>
      </c>
      <c r="L1240" s="4"/>
      <c r="M1240" s="4"/>
      <c r="N1240" s="11">
        <v>0</v>
      </c>
      <c r="O1240" s="4"/>
      <c r="P1240" s="4"/>
      <c r="Q1240" s="11">
        <v>0</v>
      </c>
      <c r="R1240" s="4"/>
      <c r="S1240" s="12"/>
    </row>
    <row r="1241" spans="1:19" x14ac:dyDescent="0.25">
      <c r="A1241" s="9" t="s">
        <v>445</v>
      </c>
      <c r="B1241" s="9" t="s">
        <v>445</v>
      </c>
      <c r="C1241" s="4">
        <v>201003350</v>
      </c>
      <c r="D1241" s="4" t="s">
        <v>1959</v>
      </c>
      <c r="E1241" s="4" t="str">
        <f>"066842010"</f>
        <v>066842010</v>
      </c>
      <c r="F1241" s="10">
        <v>40310</v>
      </c>
      <c r="G1241" s="11">
        <v>6500</v>
      </c>
      <c r="H1241" s="11">
        <v>6500</v>
      </c>
      <c r="I1241" s="4" t="s">
        <v>366</v>
      </c>
      <c r="J1241" s="4" t="s">
        <v>367</v>
      </c>
      <c r="K1241" s="11">
        <v>0</v>
      </c>
      <c r="L1241" s="4"/>
      <c r="M1241" s="4"/>
      <c r="N1241" s="11">
        <v>0</v>
      </c>
      <c r="O1241" s="4"/>
      <c r="P1241" s="4"/>
      <c r="Q1241" s="11">
        <v>0</v>
      </c>
      <c r="R1241" s="4"/>
      <c r="S1241" s="12"/>
    </row>
    <row r="1242" spans="1:19" x14ac:dyDescent="0.25">
      <c r="A1242" s="9" t="s">
        <v>445</v>
      </c>
      <c r="B1242" s="9" t="s">
        <v>445</v>
      </c>
      <c r="C1242" s="4">
        <v>201003372</v>
      </c>
      <c r="D1242" s="4"/>
      <c r="E1242" s="4" t="str">
        <f>"067702010"</f>
        <v>067702010</v>
      </c>
      <c r="F1242" s="10">
        <v>40310</v>
      </c>
      <c r="G1242" s="11">
        <v>2651.62</v>
      </c>
      <c r="H1242" s="11">
        <v>2651.62</v>
      </c>
      <c r="I1242" s="4" t="s">
        <v>366</v>
      </c>
      <c r="J1242" s="4" t="s">
        <v>367</v>
      </c>
      <c r="K1242" s="11">
        <v>0</v>
      </c>
      <c r="L1242" s="4"/>
      <c r="M1242" s="4"/>
      <c r="N1242" s="11">
        <v>0</v>
      </c>
      <c r="O1242" s="4"/>
      <c r="P1242" s="4"/>
      <c r="Q1242" s="11">
        <v>0</v>
      </c>
      <c r="R1242" s="4"/>
      <c r="S1242" s="12"/>
    </row>
    <row r="1243" spans="1:19" x14ac:dyDescent="0.25">
      <c r="A1243" s="9" t="s">
        <v>445</v>
      </c>
      <c r="B1243" s="9" t="s">
        <v>445</v>
      </c>
      <c r="C1243" s="4">
        <v>201003418</v>
      </c>
      <c r="D1243" s="4"/>
      <c r="E1243" s="4" t="str">
        <f>"067882010"</f>
        <v>067882010</v>
      </c>
      <c r="F1243" s="10">
        <v>40311</v>
      </c>
      <c r="G1243" s="11">
        <v>5903</v>
      </c>
      <c r="H1243" s="11">
        <v>5903</v>
      </c>
      <c r="I1243" s="4" t="s">
        <v>366</v>
      </c>
      <c r="J1243" s="4" t="s">
        <v>367</v>
      </c>
      <c r="K1243" s="11">
        <v>0</v>
      </c>
      <c r="L1243" s="4"/>
      <c r="M1243" s="4"/>
      <c r="N1243" s="11">
        <v>0</v>
      </c>
      <c r="O1243" s="4"/>
      <c r="P1243" s="4"/>
      <c r="Q1243" s="11">
        <v>0</v>
      </c>
      <c r="R1243" s="4"/>
      <c r="S1243" s="12"/>
    </row>
    <row r="1244" spans="1:19" x14ac:dyDescent="0.25">
      <c r="A1244" s="9" t="s">
        <v>445</v>
      </c>
      <c r="B1244" s="9" t="s">
        <v>445</v>
      </c>
      <c r="C1244" s="4">
        <v>201003419</v>
      </c>
      <c r="D1244" s="4"/>
      <c r="E1244" s="4" t="str">
        <f>"069582010"</f>
        <v>069582010</v>
      </c>
      <c r="F1244" s="10">
        <v>40316</v>
      </c>
      <c r="G1244" s="11">
        <v>14757</v>
      </c>
      <c r="H1244" s="11">
        <v>14757</v>
      </c>
      <c r="I1244" s="4" t="s">
        <v>1752</v>
      </c>
      <c r="J1244" s="4" t="s">
        <v>1753</v>
      </c>
      <c r="K1244" s="11">
        <v>0</v>
      </c>
      <c r="L1244" s="4"/>
      <c r="M1244" s="4"/>
      <c r="N1244" s="11">
        <v>0</v>
      </c>
      <c r="O1244" s="4"/>
      <c r="P1244" s="4"/>
      <c r="Q1244" s="11">
        <v>0</v>
      </c>
      <c r="R1244" s="4"/>
      <c r="S1244" s="12"/>
    </row>
    <row r="1245" spans="1:19" x14ac:dyDescent="0.25">
      <c r="A1245" s="9" t="s">
        <v>445</v>
      </c>
      <c r="B1245" s="9" t="s">
        <v>445</v>
      </c>
      <c r="C1245" s="4">
        <v>201003454</v>
      </c>
      <c r="D1245" s="4"/>
      <c r="E1245" s="4" t="str">
        <f>"071952010"</f>
        <v>071952010</v>
      </c>
      <c r="F1245" s="10">
        <v>40336</v>
      </c>
      <c r="G1245" s="11">
        <v>1638927.82</v>
      </c>
      <c r="H1245" s="11">
        <v>1665568.68</v>
      </c>
      <c r="I1245" s="4" t="s">
        <v>1937</v>
      </c>
      <c r="J1245" s="4" t="s">
        <v>1938</v>
      </c>
      <c r="K1245" s="11">
        <v>0</v>
      </c>
      <c r="L1245" s="4"/>
      <c r="M1245" s="4"/>
      <c r="N1245" s="11">
        <v>0</v>
      </c>
      <c r="O1245" s="4"/>
      <c r="P1245" s="4"/>
      <c r="Q1245" s="11">
        <v>0</v>
      </c>
      <c r="R1245" s="4"/>
      <c r="S1245" s="12"/>
    </row>
    <row r="1246" spans="1:19" x14ac:dyDescent="0.25">
      <c r="A1246" s="9" t="s">
        <v>445</v>
      </c>
      <c r="B1246" s="9" t="s">
        <v>445</v>
      </c>
      <c r="C1246" s="4">
        <v>201003471</v>
      </c>
      <c r="D1246" s="4"/>
      <c r="E1246" s="4" t="str">
        <f>"070192010"</f>
        <v>070192010</v>
      </c>
      <c r="F1246" s="10">
        <v>40316</v>
      </c>
      <c r="G1246" s="11">
        <v>2750</v>
      </c>
      <c r="H1246" s="11">
        <v>2750</v>
      </c>
      <c r="I1246" s="4" t="s">
        <v>931</v>
      </c>
      <c r="J1246" s="4" t="s">
        <v>932</v>
      </c>
      <c r="K1246" s="11">
        <v>0</v>
      </c>
      <c r="L1246" s="4"/>
      <c r="M1246" s="4"/>
      <c r="N1246" s="11">
        <v>0</v>
      </c>
      <c r="O1246" s="4"/>
      <c r="P1246" s="4"/>
      <c r="Q1246" s="11">
        <v>0</v>
      </c>
      <c r="R1246" s="4"/>
      <c r="S1246" s="12"/>
    </row>
    <row r="1247" spans="1:19" x14ac:dyDescent="0.25">
      <c r="A1247" s="9" t="s">
        <v>445</v>
      </c>
      <c r="B1247" s="9" t="s">
        <v>445</v>
      </c>
      <c r="C1247" s="4">
        <v>201003483</v>
      </c>
      <c r="D1247" s="4"/>
      <c r="E1247" s="4" t="str">
        <f>"070372010"</f>
        <v>070372010</v>
      </c>
      <c r="F1247" s="10">
        <v>40316</v>
      </c>
      <c r="G1247" s="11">
        <v>21949.3</v>
      </c>
      <c r="H1247" s="11">
        <v>21949.3</v>
      </c>
      <c r="I1247" s="4" t="s">
        <v>366</v>
      </c>
      <c r="J1247" s="4" t="s">
        <v>367</v>
      </c>
      <c r="K1247" s="11">
        <v>0</v>
      </c>
      <c r="L1247" s="4"/>
      <c r="M1247" s="4"/>
      <c r="N1247" s="11">
        <v>0</v>
      </c>
      <c r="O1247" s="4"/>
      <c r="P1247" s="4"/>
      <c r="Q1247" s="11">
        <v>0</v>
      </c>
      <c r="R1247" s="4"/>
      <c r="S1247" s="12"/>
    </row>
    <row r="1248" spans="1:19" x14ac:dyDescent="0.25">
      <c r="A1248" s="9" t="s">
        <v>445</v>
      </c>
      <c r="B1248" s="9" t="s">
        <v>445</v>
      </c>
      <c r="C1248" s="4">
        <v>201003542</v>
      </c>
      <c r="D1248" s="4"/>
      <c r="E1248" s="4" t="str">
        <f>"070032010"</f>
        <v>070032010</v>
      </c>
      <c r="F1248" s="10">
        <v>40318</v>
      </c>
      <c r="G1248" s="11">
        <v>2585.41</v>
      </c>
      <c r="H1248" s="11">
        <v>2585.41</v>
      </c>
      <c r="I1248" s="4" t="s">
        <v>366</v>
      </c>
      <c r="J1248" s="4" t="s">
        <v>367</v>
      </c>
      <c r="K1248" s="11">
        <v>0</v>
      </c>
      <c r="L1248" s="4"/>
      <c r="M1248" s="4"/>
      <c r="N1248" s="11">
        <v>0</v>
      </c>
      <c r="O1248" s="4"/>
      <c r="P1248" s="4"/>
      <c r="Q1248" s="11">
        <v>0</v>
      </c>
      <c r="R1248" s="4"/>
      <c r="S1248" s="12"/>
    </row>
    <row r="1249" spans="1:19" x14ac:dyDescent="0.25">
      <c r="A1249" s="9" t="s">
        <v>445</v>
      </c>
      <c r="B1249" s="9" t="s">
        <v>445</v>
      </c>
      <c r="C1249" s="4">
        <v>201003604</v>
      </c>
      <c r="D1249" s="4"/>
      <c r="E1249" s="4" t="str">
        <f>"071592010"</f>
        <v>071592010</v>
      </c>
      <c r="F1249" s="10">
        <v>40319</v>
      </c>
      <c r="G1249" s="11">
        <v>65000</v>
      </c>
      <c r="H1249" s="11">
        <v>65000</v>
      </c>
      <c r="I1249" s="4" t="s">
        <v>687</v>
      </c>
      <c r="J1249" s="4" t="s">
        <v>688</v>
      </c>
      <c r="K1249" s="11">
        <v>0</v>
      </c>
      <c r="L1249" s="4"/>
      <c r="M1249" s="4"/>
      <c r="N1249" s="11">
        <v>0</v>
      </c>
      <c r="O1249" s="4"/>
      <c r="P1249" s="4"/>
      <c r="Q1249" s="11">
        <v>0</v>
      </c>
      <c r="R1249" s="4"/>
      <c r="S1249" s="12"/>
    </row>
    <row r="1250" spans="1:19" x14ac:dyDescent="0.25">
      <c r="A1250" s="9" t="s">
        <v>445</v>
      </c>
      <c r="B1250" s="9" t="s">
        <v>445</v>
      </c>
      <c r="C1250" s="4">
        <v>201003678</v>
      </c>
      <c r="D1250" s="4" t="s">
        <v>451</v>
      </c>
      <c r="E1250" s="4" t="str">
        <f>"073232010"</f>
        <v>073232010</v>
      </c>
      <c r="F1250" s="10">
        <v>40324</v>
      </c>
      <c r="G1250" s="11">
        <v>45000</v>
      </c>
      <c r="H1250" s="11">
        <v>45000</v>
      </c>
      <c r="I1250" s="4" t="s">
        <v>687</v>
      </c>
      <c r="J1250" s="4" t="s">
        <v>688</v>
      </c>
      <c r="K1250" s="11">
        <v>0</v>
      </c>
      <c r="L1250" s="4"/>
      <c r="M1250" s="4"/>
      <c r="N1250" s="11">
        <v>0</v>
      </c>
      <c r="O1250" s="4"/>
      <c r="P1250" s="4"/>
      <c r="Q1250" s="11">
        <v>0</v>
      </c>
      <c r="R1250" s="4"/>
      <c r="S1250" s="12"/>
    </row>
    <row r="1251" spans="1:19" x14ac:dyDescent="0.25">
      <c r="A1251" s="9" t="s">
        <v>445</v>
      </c>
      <c r="B1251" s="9" t="s">
        <v>445</v>
      </c>
      <c r="C1251" s="4">
        <v>201003697</v>
      </c>
      <c r="D1251" s="4"/>
      <c r="E1251" s="4" t="str">
        <f>"074782010"</f>
        <v>074782010</v>
      </c>
      <c r="F1251" s="10">
        <v>40331</v>
      </c>
      <c r="G1251" s="11">
        <v>5688.89</v>
      </c>
      <c r="H1251" s="11">
        <v>5688.89</v>
      </c>
      <c r="I1251" s="4" t="s">
        <v>366</v>
      </c>
      <c r="J1251" s="4" t="s">
        <v>367</v>
      </c>
      <c r="K1251" s="11">
        <v>0</v>
      </c>
      <c r="L1251" s="4"/>
      <c r="M1251" s="4"/>
      <c r="N1251" s="11">
        <v>0</v>
      </c>
      <c r="O1251" s="4"/>
      <c r="P1251" s="4"/>
      <c r="Q1251" s="11">
        <v>0</v>
      </c>
      <c r="R1251" s="4"/>
      <c r="S1251" s="12"/>
    </row>
    <row r="1252" spans="1:19" x14ac:dyDescent="0.25">
      <c r="A1252" s="9" t="s">
        <v>445</v>
      </c>
      <c r="B1252" s="9" t="s">
        <v>445</v>
      </c>
      <c r="C1252" s="4">
        <v>201003710</v>
      </c>
      <c r="D1252" s="4"/>
      <c r="E1252" s="4" t="str">
        <f>"079602010"</f>
        <v>079602010</v>
      </c>
      <c r="F1252" s="10">
        <v>40346</v>
      </c>
      <c r="G1252" s="11">
        <v>4800.4399999999996</v>
      </c>
      <c r="H1252" s="11">
        <v>4800.4399999999996</v>
      </c>
      <c r="I1252" s="4" t="s">
        <v>54</v>
      </c>
      <c r="J1252" s="4" t="s">
        <v>55</v>
      </c>
      <c r="K1252" s="11">
        <v>0</v>
      </c>
      <c r="L1252" s="4"/>
      <c r="M1252" s="4"/>
      <c r="N1252" s="11">
        <v>0</v>
      </c>
      <c r="O1252" s="4"/>
      <c r="P1252" s="4"/>
      <c r="Q1252" s="11">
        <v>0</v>
      </c>
      <c r="R1252" s="4"/>
      <c r="S1252" s="12"/>
    </row>
    <row r="1253" spans="1:19" x14ac:dyDescent="0.25">
      <c r="A1253" s="9" t="s">
        <v>445</v>
      </c>
      <c r="B1253" s="9" t="s">
        <v>445</v>
      </c>
      <c r="C1253" s="4">
        <v>201003731</v>
      </c>
      <c r="D1253" s="4"/>
      <c r="E1253" s="4" t="str">
        <f>"074722010"</f>
        <v>074722010</v>
      </c>
      <c r="F1253" s="10">
        <v>40332</v>
      </c>
      <c r="G1253" s="11">
        <v>7381.06</v>
      </c>
      <c r="H1253" s="11">
        <v>7381.06</v>
      </c>
      <c r="I1253" s="4" t="s">
        <v>366</v>
      </c>
      <c r="J1253" s="4" t="s">
        <v>367</v>
      </c>
      <c r="K1253" s="11">
        <v>0</v>
      </c>
      <c r="L1253" s="4"/>
      <c r="M1253" s="4"/>
      <c r="N1253" s="11">
        <v>0</v>
      </c>
      <c r="O1253" s="4"/>
      <c r="P1253" s="4"/>
      <c r="Q1253" s="11">
        <v>0</v>
      </c>
      <c r="R1253" s="4"/>
      <c r="S1253" s="12"/>
    </row>
    <row r="1254" spans="1:19" x14ac:dyDescent="0.25">
      <c r="A1254" s="9" t="s">
        <v>445</v>
      </c>
      <c r="B1254" s="9" t="s">
        <v>445</v>
      </c>
      <c r="C1254" s="4">
        <v>201003809</v>
      </c>
      <c r="D1254" s="4"/>
      <c r="E1254" s="4" t="str">
        <f>"075622010"</f>
        <v>075622010</v>
      </c>
      <c r="F1254" s="10">
        <v>40331</v>
      </c>
      <c r="G1254" s="11">
        <v>3571.72</v>
      </c>
      <c r="H1254" s="11">
        <v>3571.72</v>
      </c>
      <c r="I1254" s="4" t="s">
        <v>54</v>
      </c>
      <c r="J1254" s="4" t="s">
        <v>55</v>
      </c>
      <c r="K1254" s="11">
        <v>0</v>
      </c>
      <c r="L1254" s="4"/>
      <c r="M1254" s="4"/>
      <c r="N1254" s="11">
        <v>0</v>
      </c>
      <c r="O1254" s="4"/>
      <c r="P1254" s="4"/>
      <c r="Q1254" s="11">
        <v>0</v>
      </c>
      <c r="R1254" s="4"/>
      <c r="S1254" s="12"/>
    </row>
    <row r="1255" spans="1:19" x14ac:dyDescent="0.25">
      <c r="A1255" s="9" t="s">
        <v>445</v>
      </c>
      <c r="B1255" s="9" t="s">
        <v>445</v>
      </c>
      <c r="C1255" s="4">
        <v>201003859</v>
      </c>
      <c r="D1255" s="4"/>
      <c r="E1255" s="4" t="str">
        <f>"075862010"</f>
        <v>075862010</v>
      </c>
      <c r="F1255" s="10">
        <v>40332</v>
      </c>
      <c r="G1255" s="11">
        <v>5925.77</v>
      </c>
      <c r="H1255" s="11">
        <v>5925.77</v>
      </c>
      <c r="I1255" s="4" t="s">
        <v>366</v>
      </c>
      <c r="J1255" s="4" t="s">
        <v>367</v>
      </c>
      <c r="K1255" s="11">
        <v>0</v>
      </c>
      <c r="L1255" s="4"/>
      <c r="M1255" s="4"/>
      <c r="N1255" s="11">
        <v>0</v>
      </c>
      <c r="O1255" s="4"/>
      <c r="P1255" s="4"/>
      <c r="Q1255" s="11">
        <v>0</v>
      </c>
      <c r="R1255" s="4"/>
      <c r="S1255" s="12"/>
    </row>
    <row r="1256" spans="1:19" x14ac:dyDescent="0.25">
      <c r="A1256" s="9" t="s">
        <v>445</v>
      </c>
      <c r="B1256" s="9" t="s">
        <v>445</v>
      </c>
      <c r="C1256" s="4">
        <v>201003874</v>
      </c>
      <c r="D1256" s="4" t="s">
        <v>1960</v>
      </c>
      <c r="E1256" s="4" t="str">
        <f>"075762010"</f>
        <v>075762010</v>
      </c>
      <c r="F1256" s="10">
        <v>40331</v>
      </c>
      <c r="G1256" s="11">
        <v>5000</v>
      </c>
      <c r="H1256" s="11">
        <v>5000</v>
      </c>
      <c r="I1256" s="4" t="s">
        <v>366</v>
      </c>
      <c r="J1256" s="4" t="s">
        <v>367</v>
      </c>
      <c r="K1256" s="11">
        <v>0</v>
      </c>
      <c r="L1256" s="4"/>
      <c r="M1256" s="4"/>
      <c r="N1256" s="11">
        <v>0</v>
      </c>
      <c r="O1256" s="4"/>
      <c r="P1256" s="4"/>
      <c r="Q1256" s="11">
        <v>0</v>
      </c>
      <c r="R1256" s="4"/>
      <c r="S1256" s="12"/>
    </row>
    <row r="1257" spans="1:19" x14ac:dyDescent="0.25">
      <c r="A1257" s="9" t="s">
        <v>445</v>
      </c>
      <c r="B1257" s="9" t="s">
        <v>445</v>
      </c>
      <c r="C1257" s="4">
        <v>201003875</v>
      </c>
      <c r="D1257" s="4"/>
      <c r="E1257" s="4" t="str">
        <f>"075742010"</f>
        <v>075742010</v>
      </c>
      <c r="F1257" s="10">
        <v>40331</v>
      </c>
      <c r="G1257" s="11">
        <v>14730.15</v>
      </c>
      <c r="H1257" s="11">
        <v>14730.15</v>
      </c>
      <c r="I1257" s="4" t="s">
        <v>366</v>
      </c>
      <c r="J1257" s="4" t="s">
        <v>367</v>
      </c>
      <c r="K1257" s="11">
        <v>0</v>
      </c>
      <c r="L1257" s="4"/>
      <c r="M1257" s="4"/>
      <c r="N1257" s="11">
        <v>0</v>
      </c>
      <c r="O1257" s="4"/>
      <c r="P1257" s="4"/>
      <c r="Q1257" s="11">
        <v>0</v>
      </c>
      <c r="R1257" s="4"/>
      <c r="S1257" s="12"/>
    </row>
    <row r="1258" spans="1:19" x14ac:dyDescent="0.25">
      <c r="A1258" s="9" t="s">
        <v>445</v>
      </c>
      <c r="B1258" s="9" t="s">
        <v>445</v>
      </c>
      <c r="C1258" s="4">
        <v>201003877</v>
      </c>
      <c r="D1258" s="4" t="s">
        <v>1960</v>
      </c>
      <c r="E1258" s="4" t="str">
        <f>"077712010"</f>
        <v>077712010</v>
      </c>
      <c r="F1258" s="10">
        <v>40340</v>
      </c>
      <c r="G1258" s="11">
        <v>31000</v>
      </c>
      <c r="H1258" s="11">
        <v>31000</v>
      </c>
      <c r="I1258" s="4" t="s">
        <v>366</v>
      </c>
      <c r="J1258" s="4" t="s">
        <v>367</v>
      </c>
      <c r="K1258" s="11">
        <v>0</v>
      </c>
      <c r="L1258" s="4"/>
      <c r="M1258" s="4"/>
      <c r="N1258" s="11">
        <v>0</v>
      </c>
      <c r="O1258" s="4"/>
      <c r="P1258" s="4"/>
      <c r="Q1258" s="11">
        <v>0</v>
      </c>
      <c r="R1258" s="4"/>
      <c r="S1258" s="12"/>
    </row>
    <row r="1259" spans="1:19" x14ac:dyDescent="0.25">
      <c r="A1259" s="9" t="s">
        <v>445</v>
      </c>
      <c r="B1259" s="9" t="s">
        <v>445</v>
      </c>
      <c r="C1259" s="4">
        <v>201003961</v>
      </c>
      <c r="D1259" s="4"/>
      <c r="E1259" s="4" t="str">
        <f>"079782010"</f>
        <v>079782010</v>
      </c>
      <c r="F1259" s="10">
        <v>40344</v>
      </c>
      <c r="G1259" s="11">
        <v>25000</v>
      </c>
      <c r="H1259" s="11">
        <v>25000</v>
      </c>
      <c r="I1259" s="4" t="s">
        <v>366</v>
      </c>
      <c r="J1259" s="4" t="s">
        <v>367</v>
      </c>
      <c r="K1259" s="11">
        <v>0</v>
      </c>
      <c r="L1259" s="4"/>
      <c r="M1259" s="4"/>
      <c r="N1259" s="11">
        <v>0</v>
      </c>
      <c r="O1259" s="4"/>
      <c r="P1259" s="4"/>
      <c r="Q1259" s="11">
        <v>0</v>
      </c>
      <c r="R1259" s="4"/>
      <c r="S1259" s="12"/>
    </row>
    <row r="1260" spans="1:19" x14ac:dyDescent="0.25">
      <c r="A1260" s="9" t="s">
        <v>445</v>
      </c>
      <c r="B1260" s="9" t="s">
        <v>445</v>
      </c>
      <c r="C1260" s="4">
        <v>201003963</v>
      </c>
      <c r="D1260" s="4" t="s">
        <v>1961</v>
      </c>
      <c r="E1260" s="4" t="str">
        <f>"081502010"</f>
        <v>081502010</v>
      </c>
      <c r="F1260" s="10">
        <v>40357</v>
      </c>
      <c r="G1260" s="11">
        <v>50000</v>
      </c>
      <c r="H1260" s="11">
        <v>50000</v>
      </c>
      <c r="I1260" s="4" t="s">
        <v>1859</v>
      </c>
      <c r="J1260" s="4" t="s">
        <v>1860</v>
      </c>
      <c r="K1260" s="11">
        <v>0</v>
      </c>
      <c r="L1260" s="4"/>
      <c r="M1260" s="4"/>
      <c r="N1260" s="11">
        <v>0</v>
      </c>
      <c r="O1260" s="4"/>
      <c r="P1260" s="4"/>
      <c r="Q1260" s="11">
        <v>0</v>
      </c>
      <c r="R1260" s="4"/>
      <c r="S1260" s="12"/>
    </row>
    <row r="1261" spans="1:19" x14ac:dyDescent="0.25">
      <c r="A1261" s="9" t="s">
        <v>445</v>
      </c>
      <c r="B1261" s="9" t="s">
        <v>445</v>
      </c>
      <c r="C1261" s="4">
        <v>201003993</v>
      </c>
      <c r="D1261" s="4"/>
      <c r="E1261" s="4" t="str">
        <f>"079962010"</f>
        <v>079962010</v>
      </c>
      <c r="F1261" s="10">
        <v>40344</v>
      </c>
      <c r="G1261" s="11">
        <v>5798.75</v>
      </c>
      <c r="H1261" s="11">
        <v>5798.75</v>
      </c>
      <c r="I1261" s="4" t="s">
        <v>366</v>
      </c>
      <c r="J1261" s="4" t="s">
        <v>367</v>
      </c>
      <c r="K1261" s="11">
        <v>0</v>
      </c>
      <c r="L1261" s="4"/>
      <c r="M1261" s="4"/>
      <c r="N1261" s="11">
        <v>0</v>
      </c>
      <c r="O1261" s="4"/>
      <c r="P1261" s="4"/>
      <c r="Q1261" s="11">
        <v>0</v>
      </c>
      <c r="R1261" s="4"/>
      <c r="S1261" s="12"/>
    </row>
    <row r="1262" spans="1:19" x14ac:dyDescent="0.25">
      <c r="A1262" s="9" t="s">
        <v>445</v>
      </c>
      <c r="B1262" s="9" t="s">
        <v>445</v>
      </c>
      <c r="C1262" s="4">
        <v>201003999</v>
      </c>
      <c r="D1262" s="4"/>
      <c r="E1262" s="4" t="str">
        <f>"079522010"</f>
        <v>079522010</v>
      </c>
      <c r="F1262" s="10">
        <v>40344</v>
      </c>
      <c r="G1262" s="11">
        <v>3560.24</v>
      </c>
      <c r="H1262" s="11">
        <v>2943.7</v>
      </c>
      <c r="I1262" s="4" t="s">
        <v>366</v>
      </c>
      <c r="J1262" s="4" t="s">
        <v>367</v>
      </c>
      <c r="K1262" s="11">
        <v>0</v>
      </c>
      <c r="L1262" s="4"/>
      <c r="M1262" s="4"/>
      <c r="N1262" s="11">
        <v>616.54</v>
      </c>
      <c r="O1262" s="4" t="s">
        <v>56</v>
      </c>
      <c r="P1262" s="4" t="s">
        <v>57</v>
      </c>
      <c r="Q1262" s="11">
        <v>0</v>
      </c>
      <c r="R1262" s="4"/>
      <c r="S1262" s="12"/>
    </row>
    <row r="1263" spans="1:19" x14ac:dyDescent="0.25">
      <c r="A1263" s="9" t="s">
        <v>445</v>
      </c>
      <c r="B1263" s="9" t="s">
        <v>445</v>
      </c>
      <c r="C1263" s="4">
        <v>201004050</v>
      </c>
      <c r="D1263" s="4" t="s">
        <v>1962</v>
      </c>
      <c r="E1263" s="4" t="str">
        <f>"088722010"</f>
        <v>088722010</v>
      </c>
      <c r="F1263" s="10">
        <v>40366</v>
      </c>
      <c r="G1263" s="11">
        <v>132500</v>
      </c>
      <c r="H1263" s="11">
        <v>132500</v>
      </c>
      <c r="I1263" s="4" t="s">
        <v>687</v>
      </c>
      <c r="J1263" s="4" t="s">
        <v>688</v>
      </c>
      <c r="K1263" s="11">
        <v>0</v>
      </c>
      <c r="L1263" s="4"/>
      <c r="M1263" s="4"/>
      <c r="N1263" s="11">
        <v>0</v>
      </c>
      <c r="O1263" s="4"/>
      <c r="P1263" s="4"/>
      <c r="Q1263" s="11">
        <v>0</v>
      </c>
      <c r="R1263" s="4"/>
      <c r="S1263" s="12"/>
    </row>
    <row r="1264" spans="1:19" x14ac:dyDescent="0.25">
      <c r="A1264" s="9" t="s">
        <v>445</v>
      </c>
      <c r="B1264" s="9" t="s">
        <v>291</v>
      </c>
      <c r="C1264" s="4">
        <v>201004207</v>
      </c>
      <c r="D1264" s="4" t="s">
        <v>1963</v>
      </c>
      <c r="E1264" s="4" t="str">
        <f>"083522010"</f>
        <v>083522010</v>
      </c>
      <c r="F1264" s="10">
        <v>40353</v>
      </c>
      <c r="G1264" s="11">
        <v>600000</v>
      </c>
      <c r="H1264" s="11">
        <v>600000</v>
      </c>
      <c r="I1264" s="4" t="s">
        <v>72</v>
      </c>
      <c r="J1264" s="4" t="s">
        <v>73</v>
      </c>
      <c r="K1264" s="11">
        <v>0</v>
      </c>
      <c r="L1264" s="4"/>
      <c r="M1264" s="4"/>
      <c r="N1264" s="11">
        <v>0</v>
      </c>
      <c r="O1264" s="4"/>
      <c r="P1264" s="4"/>
      <c r="Q1264" s="11">
        <v>0</v>
      </c>
      <c r="R1264" s="4"/>
      <c r="S1264" s="12"/>
    </row>
    <row r="1265" spans="1:19" x14ac:dyDescent="0.25">
      <c r="A1265" s="9" t="s">
        <v>445</v>
      </c>
      <c r="B1265" s="9" t="s">
        <v>445</v>
      </c>
      <c r="C1265" s="4">
        <v>201004304</v>
      </c>
      <c r="D1265" s="4"/>
      <c r="E1265" s="4" t="str">
        <f>"085862010"</f>
        <v>085862010</v>
      </c>
      <c r="F1265" s="10">
        <v>40357</v>
      </c>
      <c r="G1265" s="11">
        <v>129151.7</v>
      </c>
      <c r="H1265" s="11">
        <v>129151.7</v>
      </c>
      <c r="I1265" s="4" t="s">
        <v>54</v>
      </c>
      <c r="J1265" s="4" t="s">
        <v>55</v>
      </c>
      <c r="K1265" s="11">
        <v>0</v>
      </c>
      <c r="L1265" s="4"/>
      <c r="M1265" s="4"/>
      <c r="N1265" s="11">
        <v>0</v>
      </c>
      <c r="O1265" s="4"/>
      <c r="P1265" s="4"/>
      <c r="Q1265" s="11">
        <v>0</v>
      </c>
      <c r="R1265" s="4"/>
      <c r="S1265" s="12"/>
    </row>
    <row r="1266" spans="1:19" x14ac:dyDescent="0.25">
      <c r="A1266" s="9" t="s">
        <v>445</v>
      </c>
      <c r="B1266" s="9" t="s">
        <v>445</v>
      </c>
      <c r="C1266" s="4">
        <v>201004404</v>
      </c>
      <c r="D1266" s="4"/>
      <c r="E1266" s="4" t="str">
        <f>"088782010"</f>
        <v>088782010</v>
      </c>
      <c r="F1266" s="10">
        <v>40366</v>
      </c>
      <c r="G1266" s="11">
        <v>31500</v>
      </c>
      <c r="H1266" s="11">
        <v>31500</v>
      </c>
      <c r="I1266" s="4" t="s">
        <v>366</v>
      </c>
      <c r="J1266" s="4" t="s">
        <v>367</v>
      </c>
      <c r="K1266" s="11">
        <v>0</v>
      </c>
      <c r="L1266" s="4"/>
      <c r="M1266" s="4"/>
      <c r="N1266" s="11">
        <v>0</v>
      </c>
      <c r="O1266" s="4"/>
      <c r="P1266" s="4"/>
      <c r="Q1266" s="11">
        <v>0</v>
      </c>
      <c r="R1266" s="4"/>
      <c r="S1266" s="12"/>
    </row>
    <row r="1267" spans="1:19" x14ac:dyDescent="0.25">
      <c r="A1267" s="9" t="s">
        <v>445</v>
      </c>
      <c r="B1267" s="9" t="s">
        <v>445</v>
      </c>
      <c r="C1267" s="4">
        <v>201004422</v>
      </c>
      <c r="D1267" s="4"/>
      <c r="E1267" s="4" t="str">
        <f>"088462010"</f>
        <v>088462010</v>
      </c>
      <c r="F1267" s="10">
        <v>40360</v>
      </c>
      <c r="G1267" s="11">
        <v>16000</v>
      </c>
      <c r="H1267" s="11">
        <v>16000</v>
      </c>
      <c r="I1267" s="4" t="s">
        <v>54</v>
      </c>
      <c r="J1267" s="4" t="s">
        <v>55</v>
      </c>
      <c r="K1267" s="11">
        <v>0</v>
      </c>
      <c r="L1267" s="4"/>
      <c r="M1267" s="4"/>
      <c r="N1267" s="11">
        <v>0</v>
      </c>
      <c r="O1267" s="4"/>
      <c r="P1267" s="4"/>
      <c r="Q1267" s="11">
        <v>0</v>
      </c>
      <c r="R1267" s="4"/>
      <c r="S1267" s="12"/>
    </row>
    <row r="1268" spans="1:19" x14ac:dyDescent="0.25">
      <c r="A1268" s="9" t="s">
        <v>445</v>
      </c>
      <c r="B1268" s="9" t="s">
        <v>445</v>
      </c>
      <c r="C1268" s="4">
        <v>201004464</v>
      </c>
      <c r="D1268" s="4"/>
      <c r="E1268" s="4" t="str">
        <f>"089822010"</f>
        <v>089822010</v>
      </c>
      <c r="F1268" s="10">
        <v>40367</v>
      </c>
      <c r="G1268" s="11">
        <v>6500</v>
      </c>
      <c r="H1268" s="11">
        <v>6500</v>
      </c>
      <c r="I1268" s="4" t="s">
        <v>366</v>
      </c>
      <c r="J1268" s="4" t="s">
        <v>367</v>
      </c>
      <c r="K1268" s="11">
        <v>0</v>
      </c>
      <c r="L1268" s="4"/>
      <c r="M1268" s="4"/>
      <c r="N1268" s="11">
        <v>0</v>
      </c>
      <c r="O1268" s="4"/>
      <c r="P1268" s="4"/>
      <c r="Q1268" s="11">
        <v>0</v>
      </c>
      <c r="R1268" s="4"/>
      <c r="S1268" s="12"/>
    </row>
    <row r="1269" spans="1:19" x14ac:dyDescent="0.25">
      <c r="A1269" s="9" t="s">
        <v>445</v>
      </c>
      <c r="B1269" s="9" t="s">
        <v>445</v>
      </c>
      <c r="C1269" s="4">
        <v>201004465</v>
      </c>
      <c r="D1269" s="4" t="s">
        <v>451</v>
      </c>
      <c r="E1269" s="4" t="str">
        <f>"089322010"</f>
        <v>089322010</v>
      </c>
      <c r="F1269" s="10">
        <v>40366</v>
      </c>
      <c r="G1269" s="11">
        <v>175000</v>
      </c>
      <c r="H1269" s="11">
        <v>175000</v>
      </c>
      <c r="I1269" s="4" t="s">
        <v>687</v>
      </c>
      <c r="J1269" s="4" t="s">
        <v>688</v>
      </c>
      <c r="K1269" s="11">
        <v>0</v>
      </c>
      <c r="L1269" s="4"/>
      <c r="M1269" s="4"/>
      <c r="N1269" s="11">
        <v>0</v>
      </c>
      <c r="O1269" s="4"/>
      <c r="P1269" s="4"/>
      <c r="Q1269" s="11">
        <v>0</v>
      </c>
      <c r="R1269" s="4"/>
      <c r="S1269" s="12"/>
    </row>
    <row r="1270" spans="1:19" x14ac:dyDescent="0.25">
      <c r="A1270" s="9" t="s">
        <v>445</v>
      </c>
      <c r="B1270" s="9" t="s">
        <v>445</v>
      </c>
      <c r="C1270" s="4">
        <v>201004491</v>
      </c>
      <c r="D1270" s="4" t="s">
        <v>1964</v>
      </c>
      <c r="E1270" s="4" t="str">
        <f>"090242010"</f>
        <v>090242010</v>
      </c>
      <c r="F1270" s="10">
        <v>40367</v>
      </c>
      <c r="G1270" s="11">
        <v>250000</v>
      </c>
      <c r="H1270" s="11">
        <v>250000</v>
      </c>
      <c r="I1270" s="4" t="s">
        <v>687</v>
      </c>
      <c r="J1270" s="4" t="s">
        <v>688</v>
      </c>
      <c r="K1270" s="11">
        <v>0</v>
      </c>
      <c r="L1270" s="4"/>
      <c r="M1270" s="4"/>
      <c r="N1270" s="11">
        <v>0</v>
      </c>
      <c r="O1270" s="4"/>
      <c r="P1270" s="4"/>
      <c r="Q1270" s="11">
        <v>0</v>
      </c>
      <c r="R1270" s="4"/>
      <c r="S1270" s="12"/>
    </row>
    <row r="1271" spans="1:19" x14ac:dyDescent="0.25">
      <c r="A1271" s="9" t="s">
        <v>445</v>
      </c>
      <c r="B1271" s="9" t="s">
        <v>445</v>
      </c>
      <c r="C1271" s="4">
        <v>201004512</v>
      </c>
      <c r="D1271" s="4"/>
      <c r="E1271" s="4" t="str">
        <f>"094162010"</f>
        <v>094162010</v>
      </c>
      <c r="F1271" s="10">
        <v>40379</v>
      </c>
      <c r="G1271" s="11">
        <v>3470</v>
      </c>
      <c r="H1271" s="11">
        <v>3470</v>
      </c>
      <c r="I1271" s="4" t="s">
        <v>366</v>
      </c>
      <c r="J1271" s="4" t="s">
        <v>367</v>
      </c>
      <c r="K1271" s="11">
        <v>0</v>
      </c>
      <c r="L1271" s="4"/>
      <c r="M1271" s="4"/>
      <c r="N1271" s="11">
        <v>0</v>
      </c>
      <c r="O1271" s="4"/>
      <c r="P1271" s="4"/>
      <c r="Q1271" s="11">
        <v>0</v>
      </c>
      <c r="R1271" s="4"/>
      <c r="S1271" s="12"/>
    </row>
    <row r="1272" spans="1:19" x14ac:dyDescent="0.25">
      <c r="A1272" s="9" t="s">
        <v>445</v>
      </c>
      <c r="B1272" s="9" t="s">
        <v>445</v>
      </c>
      <c r="C1272" s="4">
        <v>201004524</v>
      </c>
      <c r="D1272" s="4"/>
      <c r="E1272" s="4" t="str">
        <f>"090082010"</f>
        <v>090082010</v>
      </c>
      <c r="F1272" s="10">
        <v>40367</v>
      </c>
      <c r="G1272" s="11">
        <v>9547.35</v>
      </c>
      <c r="H1272" s="11">
        <v>9547.35</v>
      </c>
      <c r="I1272" s="4" t="s">
        <v>366</v>
      </c>
      <c r="J1272" s="4" t="s">
        <v>367</v>
      </c>
      <c r="K1272" s="11">
        <v>0</v>
      </c>
      <c r="L1272" s="4"/>
      <c r="M1272" s="4"/>
      <c r="N1272" s="11">
        <v>0</v>
      </c>
      <c r="O1272" s="4"/>
      <c r="P1272" s="4"/>
      <c r="Q1272" s="11">
        <v>0</v>
      </c>
      <c r="R1272" s="4"/>
      <c r="S1272" s="12"/>
    </row>
    <row r="1273" spans="1:19" x14ac:dyDescent="0.25">
      <c r="A1273" s="9" t="s">
        <v>445</v>
      </c>
      <c r="B1273" s="9" t="s">
        <v>445</v>
      </c>
      <c r="C1273" s="4">
        <v>201004542</v>
      </c>
      <c r="D1273" s="4" t="s">
        <v>1965</v>
      </c>
      <c r="E1273" s="4" t="str">
        <f>"090602010"</f>
        <v>090602010</v>
      </c>
      <c r="F1273" s="10">
        <v>40367</v>
      </c>
      <c r="G1273" s="11">
        <v>100000</v>
      </c>
      <c r="H1273" s="11">
        <v>100000</v>
      </c>
      <c r="I1273" s="4" t="s">
        <v>687</v>
      </c>
      <c r="J1273" s="4" t="s">
        <v>688</v>
      </c>
      <c r="K1273" s="11">
        <v>0</v>
      </c>
      <c r="L1273" s="4"/>
      <c r="M1273" s="4"/>
      <c r="N1273" s="11">
        <v>0</v>
      </c>
      <c r="O1273" s="4"/>
      <c r="P1273" s="4"/>
      <c r="Q1273" s="11">
        <v>0</v>
      </c>
      <c r="R1273" s="4"/>
      <c r="S1273" s="12"/>
    </row>
    <row r="1274" spans="1:19" x14ac:dyDescent="0.25">
      <c r="A1274" s="9" t="s">
        <v>445</v>
      </c>
      <c r="B1274" s="9" t="s">
        <v>445</v>
      </c>
      <c r="C1274" s="4">
        <v>201004673</v>
      </c>
      <c r="D1274" s="4"/>
      <c r="E1274" s="4" t="str">
        <f>"098212010"</f>
        <v>098212010</v>
      </c>
      <c r="F1274" s="10">
        <v>40394</v>
      </c>
      <c r="G1274" s="11">
        <v>3497.82</v>
      </c>
      <c r="H1274" s="11">
        <v>3497.82</v>
      </c>
      <c r="I1274" s="4" t="s">
        <v>366</v>
      </c>
      <c r="J1274" s="4" t="s">
        <v>367</v>
      </c>
      <c r="K1274" s="11">
        <v>0</v>
      </c>
      <c r="L1274" s="4"/>
      <c r="M1274" s="4"/>
      <c r="N1274" s="11">
        <v>0</v>
      </c>
      <c r="O1274" s="4"/>
      <c r="P1274" s="4"/>
      <c r="Q1274" s="11">
        <v>0</v>
      </c>
      <c r="R1274" s="4"/>
      <c r="S1274" s="12"/>
    </row>
    <row r="1275" spans="1:19" x14ac:dyDescent="0.25">
      <c r="A1275" s="9" t="s">
        <v>445</v>
      </c>
      <c r="B1275" s="9" t="s">
        <v>445</v>
      </c>
      <c r="C1275" s="4">
        <v>201004680</v>
      </c>
      <c r="D1275" s="4"/>
      <c r="E1275" s="4" t="str">
        <f>"092882010"</f>
        <v>092882010</v>
      </c>
      <c r="F1275" s="10">
        <v>40375</v>
      </c>
      <c r="G1275" s="11">
        <v>7936.79</v>
      </c>
      <c r="H1275" s="11">
        <v>7936.79</v>
      </c>
      <c r="I1275" s="4" t="s">
        <v>366</v>
      </c>
      <c r="J1275" s="4" t="s">
        <v>367</v>
      </c>
      <c r="K1275" s="11">
        <v>0</v>
      </c>
      <c r="L1275" s="4"/>
      <c r="M1275" s="4"/>
      <c r="N1275" s="11">
        <v>0</v>
      </c>
      <c r="O1275" s="4"/>
      <c r="P1275" s="4"/>
      <c r="Q1275" s="11">
        <v>0</v>
      </c>
      <c r="R1275" s="4"/>
      <c r="S1275" s="12"/>
    </row>
    <row r="1276" spans="1:19" x14ac:dyDescent="0.25">
      <c r="A1276" s="9" t="s">
        <v>445</v>
      </c>
      <c r="B1276" s="9" t="s">
        <v>445</v>
      </c>
      <c r="C1276" s="4">
        <v>201004688</v>
      </c>
      <c r="D1276" s="4"/>
      <c r="E1276" s="4" t="str">
        <f>"093402010"</f>
        <v>093402010</v>
      </c>
      <c r="F1276" s="10">
        <v>40374</v>
      </c>
      <c r="G1276" s="11">
        <v>4700</v>
      </c>
      <c r="H1276" s="11">
        <v>4700</v>
      </c>
      <c r="I1276" s="4" t="s">
        <v>54</v>
      </c>
      <c r="J1276" s="4" t="s">
        <v>55</v>
      </c>
      <c r="K1276" s="11">
        <v>0</v>
      </c>
      <c r="L1276" s="4"/>
      <c r="M1276" s="4"/>
      <c r="N1276" s="11">
        <v>0</v>
      </c>
      <c r="O1276" s="4"/>
      <c r="P1276" s="4"/>
      <c r="Q1276" s="11">
        <v>0</v>
      </c>
      <c r="R1276" s="4"/>
      <c r="S1276" s="12"/>
    </row>
    <row r="1277" spans="1:19" x14ac:dyDescent="0.25">
      <c r="A1277" s="9" t="s">
        <v>445</v>
      </c>
      <c r="B1277" s="9" t="s">
        <v>445</v>
      </c>
      <c r="C1277" s="4">
        <v>201004697</v>
      </c>
      <c r="D1277" s="4" t="s">
        <v>1875</v>
      </c>
      <c r="E1277" s="4" t="str">
        <f>"093562010"</f>
        <v>093562010</v>
      </c>
      <c r="F1277" s="10">
        <v>40375</v>
      </c>
      <c r="G1277" s="11">
        <v>2896</v>
      </c>
      <c r="H1277" s="11">
        <v>2896</v>
      </c>
      <c r="I1277" s="4" t="s">
        <v>366</v>
      </c>
      <c r="J1277" s="4" t="s">
        <v>367</v>
      </c>
      <c r="K1277" s="11">
        <v>0</v>
      </c>
      <c r="L1277" s="4"/>
      <c r="M1277" s="4"/>
      <c r="N1277" s="11">
        <v>0</v>
      </c>
      <c r="O1277" s="4"/>
      <c r="P1277" s="4"/>
      <c r="Q1277" s="11">
        <v>0</v>
      </c>
      <c r="R1277" s="4"/>
      <c r="S1277" s="12"/>
    </row>
    <row r="1278" spans="1:19" x14ac:dyDescent="0.25">
      <c r="A1278" s="9" t="s">
        <v>445</v>
      </c>
      <c r="B1278" s="9" t="s">
        <v>445</v>
      </c>
      <c r="C1278" s="4">
        <v>201004699</v>
      </c>
      <c r="D1278" s="4"/>
      <c r="E1278" s="4" t="str">
        <f>"093622010"</f>
        <v>093622010</v>
      </c>
      <c r="F1278" s="10">
        <v>40375</v>
      </c>
      <c r="G1278" s="11">
        <v>16910.28</v>
      </c>
      <c r="H1278" s="11">
        <v>16910.28</v>
      </c>
      <c r="I1278" s="4" t="s">
        <v>366</v>
      </c>
      <c r="J1278" s="4" t="s">
        <v>367</v>
      </c>
      <c r="K1278" s="11">
        <v>0</v>
      </c>
      <c r="L1278" s="4"/>
      <c r="M1278" s="4"/>
      <c r="N1278" s="11">
        <v>0</v>
      </c>
      <c r="O1278" s="4"/>
      <c r="P1278" s="4"/>
      <c r="Q1278" s="11">
        <v>0</v>
      </c>
      <c r="R1278" s="4"/>
      <c r="S1278" s="12"/>
    </row>
    <row r="1279" spans="1:19" x14ac:dyDescent="0.25">
      <c r="A1279" s="9" t="s">
        <v>445</v>
      </c>
      <c r="B1279" s="9" t="s">
        <v>445</v>
      </c>
      <c r="C1279" s="4">
        <v>201004704</v>
      </c>
      <c r="D1279" s="4" t="s">
        <v>451</v>
      </c>
      <c r="E1279" s="4" t="str">
        <f>"095642010"</f>
        <v>095642010</v>
      </c>
      <c r="F1279" s="10">
        <v>40387</v>
      </c>
      <c r="G1279" s="11">
        <v>200000</v>
      </c>
      <c r="H1279" s="11">
        <v>200000</v>
      </c>
      <c r="I1279" s="4" t="s">
        <v>687</v>
      </c>
      <c r="J1279" s="4" t="s">
        <v>688</v>
      </c>
      <c r="K1279" s="11">
        <v>0</v>
      </c>
      <c r="L1279" s="4"/>
      <c r="M1279" s="4"/>
      <c r="N1279" s="11">
        <v>0</v>
      </c>
      <c r="O1279" s="4"/>
      <c r="P1279" s="4"/>
      <c r="Q1279" s="11">
        <v>0</v>
      </c>
      <c r="R1279" s="4"/>
      <c r="S1279" s="12"/>
    </row>
    <row r="1280" spans="1:19" x14ac:dyDescent="0.25">
      <c r="A1280" s="9" t="s">
        <v>445</v>
      </c>
      <c r="B1280" s="9" t="s">
        <v>445</v>
      </c>
      <c r="C1280" s="4">
        <v>201004731</v>
      </c>
      <c r="D1280" s="4"/>
      <c r="E1280" s="4" t="str">
        <f>"098272010"</f>
        <v>098272010</v>
      </c>
      <c r="F1280" s="10">
        <v>40394</v>
      </c>
      <c r="G1280" s="11">
        <v>2565.37</v>
      </c>
      <c r="H1280" s="11">
        <v>2565.37</v>
      </c>
      <c r="I1280" s="4" t="s">
        <v>366</v>
      </c>
      <c r="J1280" s="4" t="s">
        <v>367</v>
      </c>
      <c r="K1280" s="11">
        <v>0</v>
      </c>
      <c r="L1280" s="4"/>
      <c r="M1280" s="4"/>
      <c r="N1280" s="11">
        <v>0</v>
      </c>
      <c r="O1280" s="4"/>
      <c r="P1280" s="4"/>
      <c r="Q1280" s="11">
        <v>0</v>
      </c>
      <c r="R1280" s="4"/>
      <c r="S1280" s="12"/>
    </row>
    <row r="1281" spans="1:19" x14ac:dyDescent="0.25">
      <c r="A1281" s="9" t="s">
        <v>445</v>
      </c>
      <c r="B1281" s="9" t="s">
        <v>445</v>
      </c>
      <c r="C1281" s="4">
        <v>201004742</v>
      </c>
      <c r="D1281" s="4"/>
      <c r="E1281" s="4" t="str">
        <f>"095262010"</f>
        <v>095262010</v>
      </c>
      <c r="F1281" s="10">
        <v>40382</v>
      </c>
      <c r="G1281" s="11">
        <v>6400</v>
      </c>
      <c r="H1281" s="11">
        <v>6400</v>
      </c>
      <c r="I1281" s="4" t="s">
        <v>366</v>
      </c>
      <c r="J1281" s="4" t="s">
        <v>367</v>
      </c>
      <c r="K1281" s="11">
        <v>0</v>
      </c>
      <c r="L1281" s="4"/>
      <c r="M1281" s="4"/>
      <c r="N1281" s="11">
        <v>0</v>
      </c>
      <c r="O1281" s="4"/>
      <c r="P1281" s="4"/>
      <c r="Q1281" s="11">
        <v>0</v>
      </c>
      <c r="R1281" s="4"/>
      <c r="S1281" s="12"/>
    </row>
    <row r="1282" spans="1:19" x14ac:dyDescent="0.25">
      <c r="A1282" s="9" t="s">
        <v>445</v>
      </c>
      <c r="B1282" s="9" t="s">
        <v>445</v>
      </c>
      <c r="C1282" s="4">
        <v>201004762</v>
      </c>
      <c r="D1282" s="4"/>
      <c r="E1282" s="4" t="str">
        <f>"096072010"</f>
        <v>096072010</v>
      </c>
      <c r="F1282" s="10">
        <v>40387</v>
      </c>
      <c r="G1282" s="11">
        <v>3812.2</v>
      </c>
      <c r="H1282" s="11">
        <v>3812.2</v>
      </c>
      <c r="I1282" s="4" t="s">
        <v>366</v>
      </c>
      <c r="J1282" s="4" t="s">
        <v>367</v>
      </c>
      <c r="K1282" s="11">
        <v>0</v>
      </c>
      <c r="L1282" s="4"/>
      <c r="M1282" s="4"/>
      <c r="N1282" s="11">
        <v>0</v>
      </c>
      <c r="O1282" s="4"/>
      <c r="P1282" s="4"/>
      <c r="Q1282" s="11">
        <v>0</v>
      </c>
      <c r="R1282" s="4"/>
      <c r="S1282" s="12"/>
    </row>
    <row r="1283" spans="1:19" x14ac:dyDescent="0.25">
      <c r="A1283" s="9" t="s">
        <v>445</v>
      </c>
      <c r="B1283" s="9" t="s">
        <v>445</v>
      </c>
      <c r="C1283" s="4">
        <v>201004778</v>
      </c>
      <c r="D1283" s="4" t="s">
        <v>1966</v>
      </c>
      <c r="E1283" s="4" t="str">
        <f>"098882010"</f>
        <v>098882010</v>
      </c>
      <c r="F1283" s="10">
        <v>40396</v>
      </c>
      <c r="G1283" s="11">
        <v>25000</v>
      </c>
      <c r="H1283" s="11">
        <v>25000</v>
      </c>
      <c r="I1283" s="4" t="s">
        <v>366</v>
      </c>
      <c r="J1283" s="4" t="s">
        <v>367</v>
      </c>
      <c r="K1283" s="11">
        <v>0</v>
      </c>
      <c r="L1283" s="4"/>
      <c r="M1283" s="4"/>
      <c r="N1283" s="11">
        <v>0</v>
      </c>
      <c r="O1283" s="4"/>
      <c r="P1283" s="4"/>
      <c r="Q1283" s="11">
        <v>0</v>
      </c>
      <c r="R1283" s="4"/>
      <c r="S1283" s="12"/>
    </row>
    <row r="1284" spans="1:19" x14ac:dyDescent="0.25">
      <c r="A1284" s="9" t="s">
        <v>445</v>
      </c>
      <c r="B1284" s="9" t="s">
        <v>445</v>
      </c>
      <c r="C1284" s="4">
        <v>201004816</v>
      </c>
      <c r="D1284" s="4" t="s">
        <v>1967</v>
      </c>
      <c r="E1284" s="4" t="str">
        <f>"096692010"</f>
        <v>096692010</v>
      </c>
      <c r="F1284" s="10">
        <v>40387</v>
      </c>
      <c r="G1284" s="11">
        <v>8000</v>
      </c>
      <c r="H1284" s="11">
        <v>8000</v>
      </c>
      <c r="I1284" s="4" t="s">
        <v>366</v>
      </c>
      <c r="J1284" s="4" t="s">
        <v>367</v>
      </c>
      <c r="K1284" s="11">
        <v>0</v>
      </c>
      <c r="L1284" s="4"/>
      <c r="M1284" s="4"/>
      <c r="N1284" s="11">
        <v>0</v>
      </c>
      <c r="O1284" s="4"/>
      <c r="P1284" s="4"/>
      <c r="Q1284" s="11">
        <v>0</v>
      </c>
      <c r="R1284" s="4"/>
      <c r="S1284" s="12"/>
    </row>
    <row r="1285" spans="1:19" x14ac:dyDescent="0.25">
      <c r="A1285" s="9" t="s">
        <v>445</v>
      </c>
      <c r="B1285" s="9" t="s">
        <v>445</v>
      </c>
      <c r="C1285" s="4">
        <v>201004841</v>
      </c>
      <c r="D1285" s="4"/>
      <c r="E1285" s="4" t="str">
        <f>"097222010"</f>
        <v>097222010</v>
      </c>
      <c r="F1285" s="10">
        <v>40394</v>
      </c>
      <c r="G1285" s="11">
        <v>2575.39</v>
      </c>
      <c r="H1285" s="11">
        <v>2575.39</v>
      </c>
      <c r="I1285" s="4" t="s">
        <v>366</v>
      </c>
      <c r="J1285" s="4" t="s">
        <v>367</v>
      </c>
      <c r="K1285" s="11">
        <v>0</v>
      </c>
      <c r="L1285" s="4"/>
      <c r="M1285" s="4"/>
      <c r="N1285" s="11">
        <v>0</v>
      </c>
      <c r="O1285" s="4"/>
      <c r="P1285" s="4"/>
      <c r="Q1285" s="11">
        <v>0</v>
      </c>
      <c r="R1285" s="4"/>
      <c r="S1285" s="12"/>
    </row>
    <row r="1286" spans="1:19" x14ac:dyDescent="0.25">
      <c r="A1286" s="9" t="s">
        <v>445</v>
      </c>
      <c r="B1286" s="9" t="s">
        <v>445</v>
      </c>
      <c r="C1286" s="4">
        <v>201004846</v>
      </c>
      <c r="D1286" s="4"/>
      <c r="E1286" s="4" t="str">
        <f>"097592010"</f>
        <v>097592010</v>
      </c>
      <c r="F1286" s="10">
        <v>40394</v>
      </c>
      <c r="G1286" s="11">
        <v>23186.2</v>
      </c>
      <c r="H1286" s="11">
        <v>23186.2</v>
      </c>
      <c r="I1286" s="4" t="s">
        <v>1752</v>
      </c>
      <c r="J1286" s="4" t="s">
        <v>1753</v>
      </c>
      <c r="K1286" s="11">
        <v>0</v>
      </c>
      <c r="L1286" s="4"/>
      <c r="M1286" s="4"/>
      <c r="N1286" s="11">
        <v>0</v>
      </c>
      <c r="O1286" s="4"/>
      <c r="P1286" s="4"/>
      <c r="Q1286" s="11">
        <v>0</v>
      </c>
      <c r="R1286" s="4"/>
      <c r="S1286" s="12"/>
    </row>
    <row r="1287" spans="1:19" x14ac:dyDescent="0.25">
      <c r="A1287" s="9" t="s">
        <v>445</v>
      </c>
      <c r="B1287" s="9" t="s">
        <v>445</v>
      </c>
      <c r="C1287" s="4">
        <v>201004904</v>
      </c>
      <c r="D1287" s="4"/>
      <c r="E1287" s="4" t="str">
        <f>"097372010"</f>
        <v>097372010</v>
      </c>
      <c r="F1287" s="10">
        <v>40394</v>
      </c>
      <c r="G1287" s="11">
        <v>0</v>
      </c>
      <c r="H1287" s="11">
        <v>2575.39</v>
      </c>
      <c r="I1287" s="4" t="s">
        <v>366</v>
      </c>
      <c r="J1287" s="4" t="s">
        <v>367</v>
      </c>
      <c r="K1287" s="11">
        <v>0</v>
      </c>
      <c r="L1287" s="4"/>
      <c r="M1287" s="4"/>
      <c r="N1287" s="11">
        <v>0</v>
      </c>
      <c r="O1287" s="4"/>
      <c r="P1287" s="4"/>
      <c r="Q1287" s="11">
        <v>0</v>
      </c>
      <c r="R1287" s="4"/>
      <c r="S1287" s="12"/>
    </row>
    <row r="1288" spans="1:19" x14ac:dyDescent="0.25">
      <c r="A1288" s="9" t="s">
        <v>445</v>
      </c>
      <c r="B1288" s="9" t="s">
        <v>445</v>
      </c>
      <c r="C1288" s="4">
        <v>201004907</v>
      </c>
      <c r="D1288" s="4" t="s">
        <v>1968</v>
      </c>
      <c r="E1288" s="4" t="str">
        <f>"097852010"</f>
        <v>097852010</v>
      </c>
      <c r="F1288" s="10">
        <v>40394</v>
      </c>
      <c r="G1288" s="11">
        <v>6000</v>
      </c>
      <c r="H1288" s="11">
        <v>6000</v>
      </c>
      <c r="I1288" s="4" t="s">
        <v>366</v>
      </c>
      <c r="J1288" s="4" t="s">
        <v>367</v>
      </c>
      <c r="K1288" s="11">
        <v>0</v>
      </c>
      <c r="L1288" s="4"/>
      <c r="M1288" s="4"/>
      <c r="N1288" s="11">
        <v>0</v>
      </c>
      <c r="O1288" s="4"/>
      <c r="P1288" s="4"/>
      <c r="Q1288" s="11">
        <v>0</v>
      </c>
      <c r="R1288" s="4"/>
      <c r="S1288" s="12"/>
    </row>
    <row r="1289" spans="1:19" x14ac:dyDescent="0.25">
      <c r="A1289" s="9" t="s">
        <v>445</v>
      </c>
      <c r="B1289" s="9" t="s">
        <v>445</v>
      </c>
      <c r="C1289" s="4">
        <v>201004926</v>
      </c>
      <c r="D1289" s="4" t="s">
        <v>1969</v>
      </c>
      <c r="E1289" s="4" t="str">
        <f>"098822010"</f>
        <v>098822010</v>
      </c>
      <c r="F1289" s="10">
        <v>40396</v>
      </c>
      <c r="G1289" s="11">
        <v>3332.79</v>
      </c>
      <c r="H1289" s="11">
        <v>3332.79</v>
      </c>
      <c r="I1289" s="4" t="s">
        <v>54</v>
      </c>
      <c r="J1289" s="4" t="s">
        <v>55</v>
      </c>
      <c r="K1289" s="11">
        <v>0</v>
      </c>
      <c r="L1289" s="4"/>
      <c r="M1289" s="4"/>
      <c r="N1289" s="11">
        <v>0</v>
      </c>
      <c r="O1289" s="4"/>
      <c r="P1289" s="4"/>
      <c r="Q1289" s="11">
        <v>0</v>
      </c>
      <c r="R1289" s="4"/>
      <c r="S1289" s="12"/>
    </row>
    <row r="1290" spans="1:19" x14ac:dyDescent="0.25">
      <c r="A1290" s="9" t="s">
        <v>445</v>
      </c>
      <c r="B1290" s="9" t="s">
        <v>445</v>
      </c>
      <c r="C1290" s="4">
        <v>201004929</v>
      </c>
      <c r="D1290" s="4" t="s">
        <v>1969</v>
      </c>
      <c r="E1290" s="4" t="str">
        <f>"098802010"</f>
        <v>098802010</v>
      </c>
      <c r="F1290" s="10">
        <v>40396</v>
      </c>
      <c r="G1290" s="11">
        <v>3262.16</v>
      </c>
      <c r="H1290" s="11">
        <v>3262.16</v>
      </c>
      <c r="I1290" s="4" t="s">
        <v>54</v>
      </c>
      <c r="J1290" s="4" t="s">
        <v>55</v>
      </c>
      <c r="K1290" s="11">
        <v>0</v>
      </c>
      <c r="L1290" s="4"/>
      <c r="M1290" s="4"/>
      <c r="N1290" s="11">
        <v>0</v>
      </c>
      <c r="O1290" s="4"/>
      <c r="P1290" s="4"/>
      <c r="Q1290" s="11">
        <v>0</v>
      </c>
      <c r="R1290" s="4"/>
      <c r="S1290" s="12"/>
    </row>
    <row r="1291" spans="1:19" x14ac:dyDescent="0.25">
      <c r="A1291" s="9" t="s">
        <v>445</v>
      </c>
      <c r="B1291" s="9" t="s">
        <v>445</v>
      </c>
      <c r="C1291" s="4">
        <v>201004933</v>
      </c>
      <c r="D1291" s="4"/>
      <c r="E1291" s="4" t="str">
        <f>"102452010"</f>
        <v>102452010</v>
      </c>
      <c r="F1291" s="10">
        <v>40409</v>
      </c>
      <c r="G1291" s="11">
        <v>2796.39</v>
      </c>
      <c r="H1291" s="11">
        <v>2796.39</v>
      </c>
      <c r="I1291" s="4" t="s">
        <v>366</v>
      </c>
      <c r="J1291" s="4" t="s">
        <v>367</v>
      </c>
      <c r="K1291" s="11">
        <v>0</v>
      </c>
      <c r="L1291" s="4"/>
      <c r="M1291" s="4"/>
      <c r="N1291" s="11">
        <v>0</v>
      </c>
      <c r="O1291" s="4"/>
      <c r="P1291" s="4"/>
      <c r="Q1291" s="11">
        <v>0</v>
      </c>
      <c r="R1291" s="4"/>
      <c r="S1291" s="12"/>
    </row>
    <row r="1292" spans="1:19" x14ac:dyDescent="0.25">
      <c r="A1292" s="9" t="s">
        <v>445</v>
      </c>
      <c r="B1292" s="9" t="s">
        <v>445</v>
      </c>
      <c r="C1292" s="4">
        <v>201005010</v>
      </c>
      <c r="D1292" s="4"/>
      <c r="E1292" s="4" t="str">
        <f>"100792010"</f>
        <v>100792010</v>
      </c>
      <c r="F1292" s="10">
        <v>40403</v>
      </c>
      <c r="G1292" s="11">
        <v>29344</v>
      </c>
      <c r="H1292" s="11">
        <v>29344</v>
      </c>
      <c r="I1292" s="4" t="s">
        <v>1752</v>
      </c>
      <c r="J1292" s="4" t="s">
        <v>1753</v>
      </c>
      <c r="K1292" s="11">
        <v>0</v>
      </c>
      <c r="L1292" s="4"/>
      <c r="M1292" s="4"/>
      <c r="N1292" s="11">
        <v>0</v>
      </c>
      <c r="O1292" s="4"/>
      <c r="P1292" s="4"/>
      <c r="Q1292" s="11">
        <v>0</v>
      </c>
      <c r="R1292" s="4"/>
      <c r="S1292" s="12"/>
    </row>
    <row r="1293" spans="1:19" x14ac:dyDescent="0.25">
      <c r="A1293" s="9" t="s">
        <v>445</v>
      </c>
      <c r="B1293" s="9" t="s">
        <v>445</v>
      </c>
      <c r="C1293" s="4">
        <v>201005057</v>
      </c>
      <c r="D1293" s="4"/>
      <c r="E1293" s="4" t="str">
        <f>"102792010"</f>
        <v>102792010</v>
      </c>
      <c r="F1293" s="10">
        <v>40408</v>
      </c>
      <c r="G1293" s="11">
        <v>4049.95</v>
      </c>
      <c r="H1293" s="11">
        <v>4049.95</v>
      </c>
      <c r="I1293" s="4" t="s">
        <v>366</v>
      </c>
      <c r="J1293" s="4" t="s">
        <v>367</v>
      </c>
      <c r="K1293" s="11">
        <v>0</v>
      </c>
      <c r="L1293" s="4"/>
      <c r="M1293" s="4"/>
      <c r="N1293" s="11">
        <v>0</v>
      </c>
      <c r="O1293" s="4"/>
      <c r="P1293" s="4"/>
      <c r="Q1293" s="11">
        <v>0</v>
      </c>
      <c r="R1293" s="4"/>
      <c r="S1293" s="12"/>
    </row>
    <row r="1294" spans="1:19" x14ac:dyDescent="0.25">
      <c r="A1294" s="9" t="s">
        <v>445</v>
      </c>
      <c r="B1294" s="9" t="s">
        <v>445</v>
      </c>
      <c r="C1294" s="4">
        <v>201005104</v>
      </c>
      <c r="D1294" s="4"/>
      <c r="E1294" s="4" t="str">
        <f>"101932010"</f>
        <v>101932010</v>
      </c>
      <c r="F1294" s="10">
        <v>40409</v>
      </c>
      <c r="G1294" s="11">
        <v>2985.56</v>
      </c>
      <c r="H1294" s="11">
        <v>2985.56</v>
      </c>
      <c r="I1294" s="4" t="s">
        <v>366</v>
      </c>
      <c r="J1294" s="4" t="s">
        <v>367</v>
      </c>
      <c r="K1294" s="11">
        <v>0</v>
      </c>
      <c r="L1294" s="4"/>
      <c r="M1294" s="4"/>
      <c r="N1294" s="11">
        <v>0</v>
      </c>
      <c r="O1294" s="4"/>
      <c r="P1294" s="4"/>
      <c r="Q1294" s="11">
        <v>0</v>
      </c>
      <c r="R1294" s="4"/>
      <c r="S1294" s="12"/>
    </row>
    <row r="1295" spans="1:19" x14ac:dyDescent="0.25">
      <c r="A1295" s="9" t="s">
        <v>445</v>
      </c>
      <c r="B1295" s="9" t="s">
        <v>445</v>
      </c>
      <c r="C1295" s="4">
        <v>201005105</v>
      </c>
      <c r="D1295" s="4"/>
      <c r="E1295" s="4" t="str">
        <f>"101912010"</f>
        <v>101912010</v>
      </c>
      <c r="F1295" s="10">
        <v>40408</v>
      </c>
      <c r="G1295" s="11">
        <v>4500</v>
      </c>
      <c r="H1295" s="11">
        <v>4500</v>
      </c>
      <c r="I1295" s="4" t="s">
        <v>366</v>
      </c>
      <c r="J1295" s="4" t="s">
        <v>367</v>
      </c>
      <c r="K1295" s="11">
        <v>0</v>
      </c>
      <c r="L1295" s="4"/>
      <c r="M1295" s="4"/>
      <c r="N1295" s="11">
        <v>0</v>
      </c>
      <c r="O1295" s="4"/>
      <c r="P1295" s="4"/>
      <c r="Q1295" s="11">
        <v>0</v>
      </c>
      <c r="R1295" s="4"/>
      <c r="S1295" s="12"/>
    </row>
    <row r="1296" spans="1:19" x14ac:dyDescent="0.25">
      <c r="A1296" s="9" t="s">
        <v>445</v>
      </c>
      <c r="B1296" s="9" t="s">
        <v>445</v>
      </c>
      <c r="C1296" s="4">
        <v>201005202</v>
      </c>
      <c r="D1296" s="4"/>
      <c r="E1296" s="4" t="str">
        <f>"103872010"</f>
        <v>103872010</v>
      </c>
      <c r="F1296" s="10">
        <v>40410</v>
      </c>
      <c r="G1296" s="11">
        <v>4080</v>
      </c>
      <c r="H1296" s="11">
        <v>4080</v>
      </c>
      <c r="I1296" s="4" t="s">
        <v>54</v>
      </c>
      <c r="J1296" s="4" t="s">
        <v>55</v>
      </c>
      <c r="K1296" s="11">
        <v>0</v>
      </c>
      <c r="L1296" s="4"/>
      <c r="M1296" s="4"/>
      <c r="N1296" s="11">
        <v>0</v>
      </c>
      <c r="O1296" s="4"/>
      <c r="P1296" s="4"/>
      <c r="Q1296" s="11">
        <v>0</v>
      </c>
      <c r="R1296" s="4"/>
      <c r="S1296" s="12"/>
    </row>
    <row r="1297" spans="1:19" x14ac:dyDescent="0.25">
      <c r="A1297" s="9" t="s">
        <v>445</v>
      </c>
      <c r="B1297" s="9" t="s">
        <v>445</v>
      </c>
      <c r="C1297" s="4">
        <v>201005210</v>
      </c>
      <c r="D1297" s="4"/>
      <c r="E1297" s="4" t="str">
        <f>"103772010"</f>
        <v>103772010</v>
      </c>
      <c r="F1297" s="10">
        <v>40410</v>
      </c>
      <c r="G1297" s="11">
        <v>2575.6</v>
      </c>
      <c r="H1297" s="11">
        <v>2575.6</v>
      </c>
      <c r="I1297" s="4" t="s">
        <v>366</v>
      </c>
      <c r="J1297" s="4" t="s">
        <v>367</v>
      </c>
      <c r="K1297" s="11">
        <v>0</v>
      </c>
      <c r="L1297" s="4"/>
      <c r="M1297" s="4"/>
      <c r="N1297" s="11">
        <v>0</v>
      </c>
      <c r="O1297" s="4"/>
      <c r="P1297" s="4"/>
      <c r="Q1297" s="11">
        <v>0</v>
      </c>
      <c r="R1297" s="4"/>
      <c r="S1297" s="12"/>
    </row>
    <row r="1298" spans="1:19" x14ac:dyDescent="0.25">
      <c r="A1298" s="9" t="s">
        <v>445</v>
      </c>
      <c r="B1298" s="9" t="s">
        <v>445</v>
      </c>
      <c r="C1298" s="4">
        <v>201005320</v>
      </c>
      <c r="D1298" s="4"/>
      <c r="E1298" s="4" t="str">
        <f>"106602010"</f>
        <v>106602010</v>
      </c>
      <c r="F1298" s="10">
        <v>40417</v>
      </c>
      <c r="G1298" s="11">
        <v>5245.1</v>
      </c>
      <c r="H1298" s="11">
        <v>5245.1</v>
      </c>
      <c r="I1298" s="4" t="s">
        <v>366</v>
      </c>
      <c r="J1298" s="4" t="s">
        <v>367</v>
      </c>
      <c r="K1298" s="11">
        <v>0</v>
      </c>
      <c r="L1298" s="4"/>
      <c r="M1298" s="4"/>
      <c r="N1298" s="11">
        <v>0</v>
      </c>
      <c r="O1298" s="4"/>
      <c r="P1298" s="4"/>
      <c r="Q1298" s="11">
        <v>0</v>
      </c>
      <c r="R1298" s="4"/>
      <c r="S1298" s="12"/>
    </row>
    <row r="1299" spans="1:19" x14ac:dyDescent="0.25">
      <c r="A1299" s="9" t="s">
        <v>445</v>
      </c>
      <c r="B1299" s="9" t="s">
        <v>445</v>
      </c>
      <c r="C1299" s="4">
        <v>201005327</v>
      </c>
      <c r="D1299" s="4"/>
      <c r="E1299" s="4" t="str">
        <f>"105912010"</f>
        <v>105912010</v>
      </c>
      <c r="F1299" s="10">
        <v>40416</v>
      </c>
      <c r="G1299" s="11">
        <v>14500</v>
      </c>
      <c r="H1299" s="11">
        <v>14500</v>
      </c>
      <c r="I1299" s="4" t="s">
        <v>366</v>
      </c>
      <c r="J1299" s="4" t="s">
        <v>367</v>
      </c>
      <c r="K1299" s="11">
        <v>0</v>
      </c>
      <c r="L1299" s="4"/>
      <c r="M1299" s="4"/>
      <c r="N1299" s="11">
        <v>0</v>
      </c>
      <c r="O1299" s="4"/>
      <c r="P1299" s="4"/>
      <c r="Q1299" s="11">
        <v>0</v>
      </c>
      <c r="R1299" s="4"/>
      <c r="S1299" s="12"/>
    </row>
    <row r="1300" spans="1:19" x14ac:dyDescent="0.25">
      <c r="A1300" s="9" t="s">
        <v>445</v>
      </c>
      <c r="B1300" s="9" t="s">
        <v>445</v>
      </c>
      <c r="C1300" s="4">
        <v>201005354</v>
      </c>
      <c r="D1300" s="4" t="s">
        <v>1970</v>
      </c>
      <c r="E1300" s="4" t="str">
        <f>"106512010"</f>
        <v>106512010</v>
      </c>
      <c r="F1300" s="10">
        <v>40417</v>
      </c>
      <c r="G1300" s="11">
        <v>8500</v>
      </c>
      <c r="H1300" s="11">
        <v>8500</v>
      </c>
      <c r="I1300" s="4" t="s">
        <v>366</v>
      </c>
      <c r="J1300" s="4" t="s">
        <v>367</v>
      </c>
      <c r="K1300" s="11">
        <v>0</v>
      </c>
      <c r="L1300" s="4"/>
      <c r="M1300" s="4"/>
      <c r="N1300" s="11">
        <v>0</v>
      </c>
      <c r="O1300" s="4"/>
      <c r="P1300" s="4"/>
      <c r="Q1300" s="11">
        <v>0</v>
      </c>
      <c r="R1300" s="4"/>
      <c r="S1300" s="12"/>
    </row>
    <row r="1301" spans="1:19" x14ac:dyDescent="0.25">
      <c r="A1301" s="9" t="s">
        <v>445</v>
      </c>
      <c r="B1301" s="9" t="s">
        <v>445</v>
      </c>
      <c r="C1301" s="4">
        <v>201005386</v>
      </c>
      <c r="D1301" s="4" t="s">
        <v>1971</v>
      </c>
      <c r="E1301" s="4" t="str">
        <f>"106822010"</f>
        <v>106822010</v>
      </c>
      <c r="F1301" s="10">
        <v>40417</v>
      </c>
      <c r="G1301" s="11">
        <v>162500</v>
      </c>
      <c r="H1301" s="11">
        <v>162500</v>
      </c>
      <c r="I1301" s="4" t="s">
        <v>687</v>
      </c>
      <c r="J1301" s="4" t="s">
        <v>688</v>
      </c>
      <c r="K1301" s="11">
        <v>0</v>
      </c>
      <c r="L1301" s="4"/>
      <c r="M1301" s="4"/>
      <c r="N1301" s="11">
        <v>0</v>
      </c>
      <c r="O1301" s="4"/>
      <c r="P1301" s="4"/>
      <c r="Q1301" s="11">
        <v>0</v>
      </c>
      <c r="R1301" s="4"/>
      <c r="S1301" s="12"/>
    </row>
    <row r="1302" spans="1:19" x14ac:dyDescent="0.25">
      <c r="A1302" s="9" t="s">
        <v>445</v>
      </c>
      <c r="B1302" s="9" t="s">
        <v>445</v>
      </c>
      <c r="C1302" s="4">
        <v>201005389</v>
      </c>
      <c r="D1302" s="4"/>
      <c r="E1302" s="4" t="str">
        <f>"106862010"</f>
        <v>106862010</v>
      </c>
      <c r="F1302" s="10">
        <v>40420</v>
      </c>
      <c r="G1302" s="11">
        <v>5051.3999999999996</v>
      </c>
      <c r="H1302" s="11">
        <v>5051.3999999999996</v>
      </c>
      <c r="I1302" s="4" t="s">
        <v>366</v>
      </c>
      <c r="J1302" s="4" t="s">
        <v>367</v>
      </c>
      <c r="K1302" s="11">
        <v>0</v>
      </c>
      <c r="L1302" s="4"/>
      <c r="M1302" s="4"/>
      <c r="N1302" s="11">
        <v>0</v>
      </c>
      <c r="O1302" s="4"/>
      <c r="P1302" s="4"/>
      <c r="Q1302" s="11">
        <v>0</v>
      </c>
      <c r="R1302" s="4"/>
      <c r="S1302" s="12"/>
    </row>
    <row r="1303" spans="1:19" x14ac:dyDescent="0.25">
      <c r="A1303" s="9" t="s">
        <v>445</v>
      </c>
      <c r="B1303" s="9" t="s">
        <v>445</v>
      </c>
      <c r="C1303" s="4">
        <v>201005410</v>
      </c>
      <c r="D1303" s="4" t="s">
        <v>1972</v>
      </c>
      <c r="E1303" s="4" t="str">
        <f>"107382010"</f>
        <v>107382010</v>
      </c>
      <c r="F1303" s="10">
        <v>40423</v>
      </c>
      <c r="G1303" s="11">
        <v>50000</v>
      </c>
      <c r="H1303" s="11">
        <v>50000</v>
      </c>
      <c r="I1303" s="4" t="s">
        <v>687</v>
      </c>
      <c r="J1303" s="4" t="s">
        <v>688</v>
      </c>
      <c r="K1303" s="11">
        <v>0</v>
      </c>
      <c r="L1303" s="4"/>
      <c r="M1303" s="4"/>
      <c r="N1303" s="11">
        <v>0</v>
      </c>
      <c r="O1303" s="4"/>
      <c r="P1303" s="4"/>
      <c r="Q1303" s="11">
        <v>0</v>
      </c>
      <c r="R1303" s="4"/>
      <c r="S1303" s="12"/>
    </row>
    <row r="1304" spans="1:19" x14ac:dyDescent="0.25">
      <c r="A1304" s="9" t="s">
        <v>445</v>
      </c>
      <c r="B1304" s="9" t="s">
        <v>445</v>
      </c>
      <c r="C1304" s="4">
        <v>201005415</v>
      </c>
      <c r="D1304" s="4" t="s">
        <v>1973</v>
      </c>
      <c r="E1304" s="4" t="str">
        <f>"111632010"</f>
        <v>111632010</v>
      </c>
      <c r="F1304" s="10">
        <v>40438</v>
      </c>
      <c r="G1304" s="11">
        <v>8091.41</v>
      </c>
      <c r="H1304" s="11">
        <v>8091.41</v>
      </c>
      <c r="I1304" s="4" t="s">
        <v>366</v>
      </c>
      <c r="J1304" s="4" t="s">
        <v>367</v>
      </c>
      <c r="K1304" s="11">
        <v>0</v>
      </c>
      <c r="L1304" s="4"/>
      <c r="M1304" s="4"/>
      <c r="N1304" s="11">
        <v>0</v>
      </c>
      <c r="O1304" s="4"/>
      <c r="P1304" s="4"/>
      <c r="Q1304" s="11">
        <v>0</v>
      </c>
      <c r="R1304" s="4"/>
      <c r="S1304" s="12"/>
    </row>
    <row r="1305" spans="1:19" x14ac:dyDescent="0.25">
      <c r="A1305" s="9" t="s">
        <v>445</v>
      </c>
      <c r="B1305" s="9" t="s">
        <v>445</v>
      </c>
      <c r="C1305" s="4">
        <v>201005415</v>
      </c>
      <c r="D1305" s="4" t="s">
        <v>1973</v>
      </c>
      <c r="E1305" s="4" t="str">
        <f>"111652010"</f>
        <v>111652010</v>
      </c>
      <c r="F1305" s="10">
        <v>40438</v>
      </c>
      <c r="G1305" s="11">
        <v>1908.59</v>
      </c>
      <c r="H1305" s="11">
        <v>1908.59</v>
      </c>
      <c r="I1305" s="4" t="s">
        <v>366</v>
      </c>
      <c r="J1305" s="4" t="s">
        <v>367</v>
      </c>
      <c r="K1305" s="11">
        <v>0</v>
      </c>
      <c r="L1305" s="4"/>
      <c r="M1305" s="4"/>
      <c r="N1305" s="11">
        <v>0</v>
      </c>
      <c r="O1305" s="4"/>
      <c r="P1305" s="4"/>
      <c r="Q1305" s="11">
        <v>0</v>
      </c>
      <c r="R1305" s="4"/>
      <c r="S1305" s="12"/>
    </row>
    <row r="1306" spans="1:19" x14ac:dyDescent="0.25">
      <c r="A1306" s="9" t="s">
        <v>445</v>
      </c>
      <c r="B1306" s="9" t="s">
        <v>445</v>
      </c>
      <c r="C1306" s="4">
        <v>201005544</v>
      </c>
      <c r="D1306" s="4" t="s">
        <v>1974</v>
      </c>
      <c r="E1306" s="4" t="str">
        <f>"110452010"</f>
        <v>110452010</v>
      </c>
      <c r="F1306" s="10">
        <v>40434</v>
      </c>
      <c r="G1306" s="11">
        <v>7500</v>
      </c>
      <c r="H1306" s="11">
        <v>7500</v>
      </c>
      <c r="I1306" s="4" t="s">
        <v>366</v>
      </c>
      <c r="J1306" s="4" t="s">
        <v>367</v>
      </c>
      <c r="K1306" s="11">
        <v>0</v>
      </c>
      <c r="L1306" s="4"/>
      <c r="M1306" s="4"/>
      <c r="N1306" s="11">
        <v>0</v>
      </c>
      <c r="O1306" s="4"/>
      <c r="P1306" s="4"/>
      <c r="Q1306" s="11">
        <v>0</v>
      </c>
      <c r="R1306" s="4"/>
      <c r="S1306" s="12"/>
    </row>
    <row r="1307" spans="1:19" x14ac:dyDescent="0.25">
      <c r="A1307" s="9" t="s">
        <v>445</v>
      </c>
      <c r="B1307" s="9" t="s">
        <v>445</v>
      </c>
      <c r="C1307" s="4">
        <v>201005546</v>
      </c>
      <c r="D1307" s="4"/>
      <c r="E1307" s="4" t="str">
        <f>"110412010"</f>
        <v>110412010</v>
      </c>
      <c r="F1307" s="10">
        <v>40434</v>
      </c>
      <c r="G1307" s="11">
        <v>7369.64</v>
      </c>
      <c r="H1307" s="11">
        <v>7369.64</v>
      </c>
      <c r="I1307" s="4" t="s">
        <v>366</v>
      </c>
      <c r="J1307" s="4" t="s">
        <v>367</v>
      </c>
      <c r="K1307" s="11">
        <v>0</v>
      </c>
      <c r="L1307" s="4"/>
      <c r="M1307" s="4"/>
      <c r="N1307" s="11">
        <v>0</v>
      </c>
      <c r="O1307" s="4"/>
      <c r="P1307" s="4"/>
      <c r="Q1307" s="11">
        <v>0</v>
      </c>
      <c r="R1307" s="4"/>
      <c r="S1307" s="12"/>
    </row>
    <row r="1308" spans="1:19" x14ac:dyDescent="0.25">
      <c r="A1308" s="9" t="s">
        <v>445</v>
      </c>
      <c r="B1308" s="9" t="s">
        <v>445</v>
      </c>
      <c r="C1308" s="4">
        <v>201005559</v>
      </c>
      <c r="D1308" s="4" t="s">
        <v>1975</v>
      </c>
      <c r="E1308" s="4" t="str">
        <f>"110592010"</f>
        <v>110592010</v>
      </c>
      <c r="F1308" s="10">
        <v>40436</v>
      </c>
      <c r="G1308" s="11">
        <v>5000</v>
      </c>
      <c r="H1308" s="11">
        <v>5000</v>
      </c>
      <c r="I1308" s="4" t="s">
        <v>366</v>
      </c>
      <c r="J1308" s="4" t="s">
        <v>367</v>
      </c>
      <c r="K1308" s="11">
        <v>0</v>
      </c>
      <c r="L1308" s="4"/>
      <c r="M1308" s="4"/>
      <c r="N1308" s="11">
        <v>0</v>
      </c>
      <c r="O1308" s="4"/>
      <c r="P1308" s="4"/>
      <c r="Q1308" s="11">
        <v>0</v>
      </c>
      <c r="R1308" s="4"/>
      <c r="S1308" s="12"/>
    </row>
    <row r="1309" spans="1:19" x14ac:dyDescent="0.25">
      <c r="A1309" s="9" t="s">
        <v>445</v>
      </c>
      <c r="B1309" s="9" t="s">
        <v>445</v>
      </c>
      <c r="C1309" s="4">
        <v>201005566</v>
      </c>
      <c r="D1309" s="4" t="s">
        <v>1976</v>
      </c>
      <c r="E1309" s="4" t="str">
        <f>"110912010"</f>
        <v>110912010</v>
      </c>
      <c r="F1309" s="10">
        <v>40436</v>
      </c>
      <c r="G1309" s="11">
        <v>8000</v>
      </c>
      <c r="H1309" s="11">
        <v>8000</v>
      </c>
      <c r="I1309" s="4" t="s">
        <v>366</v>
      </c>
      <c r="J1309" s="4" t="s">
        <v>367</v>
      </c>
      <c r="K1309" s="11">
        <v>0</v>
      </c>
      <c r="L1309" s="4"/>
      <c r="M1309" s="4"/>
      <c r="N1309" s="11">
        <v>0</v>
      </c>
      <c r="O1309" s="4"/>
      <c r="P1309" s="4"/>
      <c r="Q1309" s="11">
        <v>0</v>
      </c>
      <c r="R1309" s="4"/>
      <c r="S1309" s="12"/>
    </row>
    <row r="1310" spans="1:19" x14ac:dyDescent="0.25">
      <c r="A1310" s="9" t="s">
        <v>445</v>
      </c>
      <c r="B1310" s="9" t="s">
        <v>445</v>
      </c>
      <c r="C1310" s="4">
        <v>201005577</v>
      </c>
      <c r="D1310" s="4" t="s">
        <v>1977</v>
      </c>
      <c r="E1310" s="4" t="str">
        <f>"110752010"</f>
        <v>110752010</v>
      </c>
      <c r="F1310" s="10">
        <v>40435</v>
      </c>
      <c r="G1310" s="11">
        <v>7000</v>
      </c>
      <c r="H1310" s="11">
        <v>7000</v>
      </c>
      <c r="I1310" s="4" t="s">
        <v>366</v>
      </c>
      <c r="J1310" s="4" t="s">
        <v>367</v>
      </c>
      <c r="K1310" s="11">
        <v>0</v>
      </c>
      <c r="L1310" s="4"/>
      <c r="M1310" s="4"/>
      <c r="N1310" s="11">
        <v>0</v>
      </c>
      <c r="O1310" s="4"/>
      <c r="P1310" s="4"/>
      <c r="Q1310" s="11">
        <v>0</v>
      </c>
      <c r="R1310" s="4"/>
      <c r="S1310" s="12"/>
    </row>
    <row r="1311" spans="1:19" x14ac:dyDescent="0.25">
      <c r="A1311" s="9" t="s">
        <v>445</v>
      </c>
      <c r="B1311" s="9" t="s">
        <v>445</v>
      </c>
      <c r="C1311" s="4">
        <v>201005580</v>
      </c>
      <c r="D1311" s="4" t="s">
        <v>1978</v>
      </c>
      <c r="E1311" s="4" t="str">
        <f>"114212010"</f>
        <v>114212010</v>
      </c>
      <c r="F1311" s="10">
        <v>40449</v>
      </c>
      <c r="G1311" s="11">
        <v>10000</v>
      </c>
      <c r="H1311" s="11">
        <v>10000</v>
      </c>
      <c r="I1311" s="4" t="s">
        <v>366</v>
      </c>
      <c r="J1311" s="4" t="s">
        <v>367</v>
      </c>
      <c r="K1311" s="11">
        <v>0</v>
      </c>
      <c r="L1311" s="4"/>
      <c r="M1311" s="4"/>
      <c r="N1311" s="11">
        <v>0</v>
      </c>
      <c r="O1311" s="4"/>
      <c r="P1311" s="4"/>
      <c r="Q1311" s="11">
        <v>0</v>
      </c>
      <c r="R1311" s="4"/>
      <c r="S1311" s="12"/>
    </row>
    <row r="1312" spans="1:19" x14ac:dyDescent="0.25">
      <c r="A1312" s="9" t="s">
        <v>445</v>
      </c>
      <c r="B1312" s="9" t="s">
        <v>445</v>
      </c>
      <c r="C1312" s="4">
        <v>201005583</v>
      </c>
      <c r="D1312" s="4" t="s">
        <v>1974</v>
      </c>
      <c r="E1312" s="4" t="str">
        <f>"111312010"</f>
        <v>111312010</v>
      </c>
      <c r="F1312" s="10">
        <v>40436</v>
      </c>
      <c r="G1312" s="11">
        <v>15000</v>
      </c>
      <c r="H1312" s="11">
        <v>15000</v>
      </c>
      <c r="I1312" s="4" t="s">
        <v>366</v>
      </c>
      <c r="J1312" s="4" t="s">
        <v>367</v>
      </c>
      <c r="K1312" s="11">
        <v>0</v>
      </c>
      <c r="L1312" s="4"/>
      <c r="M1312" s="4"/>
      <c r="N1312" s="11">
        <v>0</v>
      </c>
      <c r="O1312" s="4"/>
      <c r="P1312" s="4"/>
      <c r="Q1312" s="11">
        <v>0</v>
      </c>
      <c r="R1312" s="4"/>
      <c r="S1312" s="12"/>
    </row>
    <row r="1313" spans="1:19" x14ac:dyDescent="0.25">
      <c r="A1313" s="9" t="s">
        <v>445</v>
      </c>
      <c r="B1313" s="9" t="s">
        <v>445</v>
      </c>
      <c r="C1313" s="4">
        <v>201005616</v>
      </c>
      <c r="D1313" s="4"/>
      <c r="E1313" s="4" t="str">
        <f>"112302010"</f>
        <v>112302010</v>
      </c>
      <c r="F1313" s="10">
        <v>40443</v>
      </c>
      <c r="G1313" s="11">
        <v>6134.38</v>
      </c>
      <c r="H1313" s="11">
        <v>6134.38</v>
      </c>
      <c r="I1313" s="4" t="s">
        <v>54</v>
      </c>
      <c r="J1313" s="4" t="s">
        <v>55</v>
      </c>
      <c r="K1313" s="11">
        <v>0</v>
      </c>
      <c r="L1313" s="4"/>
      <c r="M1313" s="4"/>
      <c r="N1313" s="11">
        <v>0</v>
      </c>
      <c r="O1313" s="4"/>
      <c r="P1313" s="4"/>
      <c r="Q1313" s="11">
        <v>0</v>
      </c>
      <c r="R1313" s="4"/>
      <c r="S1313" s="12"/>
    </row>
    <row r="1314" spans="1:19" x14ac:dyDescent="0.25">
      <c r="A1314" s="9" t="s">
        <v>445</v>
      </c>
      <c r="B1314" s="9" t="s">
        <v>445</v>
      </c>
      <c r="C1314" s="4">
        <v>201005638</v>
      </c>
      <c r="D1314" s="4"/>
      <c r="E1314" s="4" t="str">
        <f>"113462010"</f>
        <v>113462010</v>
      </c>
      <c r="F1314" s="10">
        <v>40445</v>
      </c>
      <c r="G1314" s="11">
        <v>2614.79</v>
      </c>
      <c r="H1314" s="11">
        <v>2614.79</v>
      </c>
      <c r="I1314" s="4" t="s">
        <v>366</v>
      </c>
      <c r="J1314" s="4" t="s">
        <v>367</v>
      </c>
      <c r="K1314" s="11">
        <v>0</v>
      </c>
      <c r="L1314" s="4"/>
      <c r="M1314" s="4"/>
      <c r="N1314" s="11">
        <v>0</v>
      </c>
      <c r="O1314" s="4"/>
      <c r="P1314" s="4"/>
      <c r="Q1314" s="11">
        <v>0</v>
      </c>
      <c r="R1314" s="4"/>
      <c r="S1314" s="12"/>
    </row>
    <row r="1315" spans="1:19" x14ac:dyDescent="0.25">
      <c r="A1315" s="9" t="s">
        <v>445</v>
      </c>
      <c r="B1315" s="9" t="s">
        <v>445</v>
      </c>
      <c r="C1315" s="4">
        <v>201005700</v>
      </c>
      <c r="D1315" s="4"/>
      <c r="E1315" s="4" t="str">
        <f>"113962010"</f>
        <v>113962010</v>
      </c>
      <c r="F1315" s="10">
        <v>40449</v>
      </c>
      <c r="G1315" s="11">
        <v>8563.86</v>
      </c>
      <c r="H1315" s="11">
        <v>8563.86</v>
      </c>
      <c r="I1315" s="4" t="s">
        <v>366</v>
      </c>
      <c r="J1315" s="4" t="s">
        <v>367</v>
      </c>
      <c r="K1315" s="11">
        <v>0</v>
      </c>
      <c r="L1315" s="4"/>
      <c r="M1315" s="4"/>
      <c r="N1315" s="11">
        <v>0</v>
      </c>
      <c r="O1315" s="4"/>
      <c r="P1315" s="4"/>
      <c r="Q1315" s="11">
        <v>0</v>
      </c>
      <c r="R1315" s="4"/>
      <c r="S1315" s="12"/>
    </row>
    <row r="1316" spans="1:19" x14ac:dyDescent="0.25">
      <c r="A1316" s="9" t="s">
        <v>445</v>
      </c>
      <c r="B1316" s="9" t="s">
        <v>445</v>
      </c>
      <c r="C1316" s="4">
        <v>201005720</v>
      </c>
      <c r="D1316" s="4" t="s">
        <v>1979</v>
      </c>
      <c r="E1316" s="4" t="str">
        <f>"114652010"</f>
        <v>114652010</v>
      </c>
      <c r="F1316" s="10">
        <v>40449</v>
      </c>
      <c r="G1316" s="11">
        <v>75000</v>
      </c>
      <c r="H1316" s="11">
        <v>75000</v>
      </c>
      <c r="I1316" s="4" t="s">
        <v>687</v>
      </c>
      <c r="J1316" s="4" t="s">
        <v>688</v>
      </c>
      <c r="K1316" s="11">
        <v>0</v>
      </c>
      <c r="L1316" s="4"/>
      <c r="M1316" s="4"/>
      <c r="N1316" s="11">
        <v>0</v>
      </c>
      <c r="O1316" s="4"/>
      <c r="P1316" s="4"/>
      <c r="Q1316" s="11">
        <v>0</v>
      </c>
      <c r="R1316" s="4"/>
      <c r="S1316" s="12"/>
    </row>
    <row r="1317" spans="1:19" x14ac:dyDescent="0.25">
      <c r="A1317" s="9" t="s">
        <v>485</v>
      </c>
      <c r="B1317" s="9" t="s">
        <v>485</v>
      </c>
      <c r="C1317" s="4">
        <v>200904246</v>
      </c>
      <c r="D1317" s="4" t="s">
        <v>2534</v>
      </c>
      <c r="E1317" s="4" t="str">
        <f>"088562009"</f>
        <v>088562009</v>
      </c>
      <c r="F1317" s="10">
        <v>40302</v>
      </c>
      <c r="G1317" s="11">
        <v>0</v>
      </c>
      <c r="H1317" s="11">
        <v>6226.8</v>
      </c>
      <c r="I1317" s="4" t="s">
        <v>366</v>
      </c>
      <c r="J1317" s="4" t="s">
        <v>367</v>
      </c>
      <c r="K1317" s="11">
        <v>1556</v>
      </c>
      <c r="L1317" s="4" t="s">
        <v>366</v>
      </c>
      <c r="M1317" s="4" t="s">
        <v>367</v>
      </c>
      <c r="N1317" s="11">
        <v>0</v>
      </c>
      <c r="O1317" s="4"/>
      <c r="P1317" s="4"/>
      <c r="Q1317" s="11">
        <v>0</v>
      </c>
      <c r="R1317" s="4"/>
      <c r="S1317" s="12"/>
    </row>
    <row r="1318" spans="1:19" x14ac:dyDescent="0.25">
      <c r="A1318" s="9" t="s">
        <v>485</v>
      </c>
      <c r="B1318" s="9" t="s">
        <v>485</v>
      </c>
      <c r="C1318" s="4">
        <v>200905833</v>
      </c>
      <c r="D1318" s="4"/>
      <c r="E1318" s="4" t="str">
        <f>"086422009"</f>
        <v>086422009</v>
      </c>
      <c r="F1318" s="10">
        <v>40092</v>
      </c>
      <c r="G1318" s="11">
        <v>8231.0400000000009</v>
      </c>
      <c r="H1318" s="11">
        <v>8231.0400000000009</v>
      </c>
      <c r="I1318" s="4" t="s">
        <v>1980</v>
      </c>
      <c r="J1318" s="4" t="s">
        <v>1981</v>
      </c>
      <c r="K1318" s="11">
        <v>0</v>
      </c>
      <c r="L1318" s="4"/>
      <c r="M1318" s="4"/>
      <c r="N1318" s="11">
        <v>0</v>
      </c>
      <c r="O1318" s="4"/>
      <c r="P1318" s="4"/>
      <c r="Q1318" s="11">
        <v>0</v>
      </c>
      <c r="R1318" s="4"/>
      <c r="S1318" s="12"/>
    </row>
    <row r="1319" spans="1:19" x14ac:dyDescent="0.25">
      <c r="A1319" s="9" t="s">
        <v>485</v>
      </c>
      <c r="B1319" s="9" t="s">
        <v>485</v>
      </c>
      <c r="C1319" s="4">
        <v>200905865</v>
      </c>
      <c r="D1319" s="4" t="s">
        <v>1982</v>
      </c>
      <c r="E1319" s="4" t="str">
        <f>"086362009"</f>
        <v>086362009</v>
      </c>
      <c r="F1319" s="10">
        <v>40092</v>
      </c>
      <c r="G1319" s="11">
        <v>2982.68</v>
      </c>
      <c r="H1319" s="11">
        <v>2982.68</v>
      </c>
      <c r="I1319" s="4" t="s">
        <v>366</v>
      </c>
      <c r="J1319" s="4" t="s">
        <v>367</v>
      </c>
      <c r="K1319" s="11">
        <v>0</v>
      </c>
      <c r="L1319" s="4"/>
      <c r="M1319" s="4"/>
      <c r="N1319" s="11">
        <v>0</v>
      </c>
      <c r="O1319" s="4"/>
      <c r="P1319" s="4"/>
      <c r="Q1319" s="11">
        <v>0</v>
      </c>
      <c r="R1319" s="4"/>
      <c r="S1319" s="12"/>
    </row>
    <row r="1320" spans="1:19" x14ac:dyDescent="0.25">
      <c r="A1320" s="9" t="s">
        <v>485</v>
      </c>
      <c r="B1320" s="9" t="s">
        <v>485</v>
      </c>
      <c r="C1320" s="4">
        <v>200905907</v>
      </c>
      <c r="D1320" s="4"/>
      <c r="E1320" s="4" t="str">
        <f>"086772009"</f>
        <v>086772009</v>
      </c>
      <c r="F1320" s="10">
        <v>40091</v>
      </c>
      <c r="G1320" s="11">
        <v>4215.75</v>
      </c>
      <c r="H1320" s="11">
        <v>4215.75</v>
      </c>
      <c r="I1320" s="4" t="s">
        <v>366</v>
      </c>
      <c r="J1320" s="4" t="s">
        <v>367</v>
      </c>
      <c r="K1320" s="11">
        <v>0</v>
      </c>
      <c r="L1320" s="4"/>
      <c r="M1320" s="4"/>
      <c r="N1320" s="11">
        <v>0</v>
      </c>
      <c r="O1320" s="4"/>
      <c r="P1320" s="4"/>
      <c r="Q1320" s="11">
        <v>0</v>
      </c>
      <c r="R1320" s="4"/>
      <c r="S1320" s="12"/>
    </row>
    <row r="1321" spans="1:19" x14ac:dyDescent="0.25">
      <c r="A1321" s="9" t="s">
        <v>485</v>
      </c>
      <c r="B1321" s="9" t="s">
        <v>485</v>
      </c>
      <c r="C1321" s="4">
        <v>200905910</v>
      </c>
      <c r="D1321" s="4"/>
      <c r="E1321" s="4" t="str">
        <f>"086812009"</f>
        <v>086812009</v>
      </c>
      <c r="F1321" s="10">
        <v>40091</v>
      </c>
      <c r="G1321" s="11">
        <v>38450</v>
      </c>
      <c r="H1321" s="11">
        <v>38450</v>
      </c>
      <c r="I1321" s="4" t="s">
        <v>366</v>
      </c>
      <c r="J1321" s="4" t="s">
        <v>367</v>
      </c>
      <c r="K1321" s="11">
        <v>0</v>
      </c>
      <c r="L1321" s="4"/>
      <c r="M1321" s="4"/>
      <c r="N1321" s="11">
        <v>0</v>
      </c>
      <c r="O1321" s="4"/>
      <c r="P1321" s="4"/>
      <c r="Q1321" s="11">
        <v>0</v>
      </c>
      <c r="R1321" s="4"/>
      <c r="S1321" s="12"/>
    </row>
    <row r="1322" spans="1:19" x14ac:dyDescent="0.25">
      <c r="A1322" s="9" t="s">
        <v>485</v>
      </c>
      <c r="B1322" s="9" t="s">
        <v>485</v>
      </c>
      <c r="C1322" s="4">
        <v>200905917</v>
      </c>
      <c r="D1322" s="4" t="s">
        <v>1983</v>
      </c>
      <c r="E1322" s="4" t="str">
        <f>"088362009"</f>
        <v>088362009</v>
      </c>
      <c r="F1322" s="10">
        <v>40127</v>
      </c>
      <c r="G1322" s="11">
        <v>5000</v>
      </c>
      <c r="H1322" s="11">
        <v>5000</v>
      </c>
      <c r="I1322" s="4" t="s">
        <v>366</v>
      </c>
      <c r="J1322" s="4" t="s">
        <v>367</v>
      </c>
      <c r="K1322" s="11">
        <v>0</v>
      </c>
      <c r="L1322" s="4"/>
      <c r="M1322" s="4"/>
      <c r="N1322" s="11">
        <v>0</v>
      </c>
      <c r="O1322" s="4"/>
      <c r="P1322" s="4"/>
      <c r="Q1322" s="11">
        <v>0</v>
      </c>
      <c r="R1322" s="4"/>
      <c r="S1322" s="12"/>
    </row>
    <row r="1323" spans="1:19" x14ac:dyDescent="0.25">
      <c r="A1323" s="9" t="s">
        <v>485</v>
      </c>
      <c r="B1323" s="9" t="s">
        <v>485</v>
      </c>
      <c r="C1323" s="4">
        <v>200905919</v>
      </c>
      <c r="D1323" s="4" t="s">
        <v>1984</v>
      </c>
      <c r="E1323" s="4" t="str">
        <f>"087282009"</f>
        <v>087282009</v>
      </c>
      <c r="F1323" s="10">
        <v>40092</v>
      </c>
      <c r="G1323" s="11">
        <v>25000</v>
      </c>
      <c r="H1323" s="11">
        <v>25000</v>
      </c>
      <c r="I1323" s="4" t="s">
        <v>687</v>
      </c>
      <c r="J1323" s="4" t="s">
        <v>688</v>
      </c>
      <c r="K1323" s="11">
        <v>0</v>
      </c>
      <c r="L1323" s="4"/>
      <c r="M1323" s="4"/>
      <c r="N1323" s="11">
        <v>0</v>
      </c>
      <c r="O1323" s="4"/>
      <c r="P1323" s="4"/>
      <c r="Q1323" s="11">
        <v>0</v>
      </c>
      <c r="R1323" s="4"/>
      <c r="S1323" s="12"/>
    </row>
    <row r="1324" spans="1:19" x14ac:dyDescent="0.25">
      <c r="A1324" s="9" t="s">
        <v>485</v>
      </c>
      <c r="B1324" s="9" t="s">
        <v>485</v>
      </c>
      <c r="C1324" s="4">
        <v>200905936</v>
      </c>
      <c r="D1324" s="4"/>
      <c r="E1324" s="4" t="str">
        <f>"086792009"</f>
        <v>086792009</v>
      </c>
      <c r="F1324" s="10">
        <v>40091</v>
      </c>
      <c r="G1324" s="11">
        <v>7364.47</v>
      </c>
      <c r="H1324" s="11">
        <v>7364.47</v>
      </c>
      <c r="I1324" s="4" t="s">
        <v>366</v>
      </c>
      <c r="J1324" s="4" t="s">
        <v>367</v>
      </c>
      <c r="K1324" s="11">
        <v>0</v>
      </c>
      <c r="L1324" s="4"/>
      <c r="M1324" s="4"/>
      <c r="N1324" s="11">
        <v>0</v>
      </c>
      <c r="O1324" s="4"/>
      <c r="P1324" s="4"/>
      <c r="Q1324" s="11">
        <v>0</v>
      </c>
      <c r="R1324" s="4"/>
      <c r="S1324" s="12"/>
    </row>
    <row r="1325" spans="1:19" x14ac:dyDescent="0.25">
      <c r="A1325" s="9" t="s">
        <v>485</v>
      </c>
      <c r="B1325" s="9" t="s">
        <v>485</v>
      </c>
      <c r="C1325" s="4">
        <v>200905942</v>
      </c>
      <c r="D1325" s="4"/>
      <c r="E1325" s="4" t="str">
        <f>"088142009"</f>
        <v>088142009</v>
      </c>
      <c r="F1325" s="10">
        <v>40107</v>
      </c>
      <c r="G1325" s="11">
        <v>16205</v>
      </c>
      <c r="H1325" s="11">
        <v>16205</v>
      </c>
      <c r="I1325" s="4" t="s">
        <v>366</v>
      </c>
      <c r="J1325" s="4" t="s">
        <v>367</v>
      </c>
      <c r="K1325" s="11">
        <v>0</v>
      </c>
      <c r="L1325" s="4"/>
      <c r="M1325" s="4"/>
      <c r="N1325" s="11">
        <v>0</v>
      </c>
      <c r="O1325" s="4"/>
      <c r="P1325" s="4"/>
      <c r="Q1325" s="11">
        <v>0</v>
      </c>
      <c r="R1325" s="4"/>
      <c r="S1325" s="12"/>
    </row>
    <row r="1326" spans="1:19" x14ac:dyDescent="0.25">
      <c r="A1326" s="9" t="s">
        <v>485</v>
      </c>
      <c r="B1326" s="9" t="s">
        <v>485</v>
      </c>
      <c r="C1326" s="4">
        <v>201000005</v>
      </c>
      <c r="D1326" s="4" t="s">
        <v>1985</v>
      </c>
      <c r="E1326" s="4" t="str">
        <f>"000062010"</f>
        <v>000062010</v>
      </c>
      <c r="F1326" s="10">
        <v>40092</v>
      </c>
      <c r="G1326" s="11">
        <v>23000</v>
      </c>
      <c r="H1326" s="11">
        <v>23000</v>
      </c>
      <c r="I1326" s="4" t="s">
        <v>687</v>
      </c>
      <c r="J1326" s="4" t="s">
        <v>688</v>
      </c>
      <c r="K1326" s="11">
        <v>0</v>
      </c>
      <c r="L1326" s="4"/>
      <c r="M1326" s="4"/>
      <c r="N1326" s="11">
        <v>0</v>
      </c>
      <c r="O1326" s="4"/>
      <c r="P1326" s="4"/>
      <c r="Q1326" s="11">
        <v>0</v>
      </c>
      <c r="R1326" s="4"/>
      <c r="S1326" s="12"/>
    </row>
    <row r="1327" spans="1:19" x14ac:dyDescent="0.25">
      <c r="A1327" s="9" t="s">
        <v>485</v>
      </c>
      <c r="B1327" s="9" t="s">
        <v>485</v>
      </c>
      <c r="C1327" s="4">
        <v>201000012</v>
      </c>
      <c r="D1327" s="4"/>
      <c r="E1327" s="4" t="str">
        <f>"000322010"</f>
        <v>000322010</v>
      </c>
      <c r="F1327" s="10">
        <v>40092</v>
      </c>
      <c r="G1327" s="11">
        <v>16893.53</v>
      </c>
      <c r="H1327" s="11">
        <v>16893.53</v>
      </c>
      <c r="I1327" s="4" t="s">
        <v>366</v>
      </c>
      <c r="J1327" s="4" t="s">
        <v>367</v>
      </c>
      <c r="K1327" s="11">
        <v>0</v>
      </c>
      <c r="L1327" s="4"/>
      <c r="M1327" s="4"/>
      <c r="N1327" s="11">
        <v>0</v>
      </c>
      <c r="O1327" s="4"/>
      <c r="P1327" s="4"/>
      <c r="Q1327" s="11">
        <v>0</v>
      </c>
      <c r="R1327" s="4"/>
      <c r="S1327" s="12"/>
    </row>
    <row r="1328" spans="1:19" x14ac:dyDescent="0.25">
      <c r="A1328" s="9" t="s">
        <v>485</v>
      </c>
      <c r="B1328" s="9" t="s">
        <v>485</v>
      </c>
      <c r="C1328" s="4">
        <v>201000013</v>
      </c>
      <c r="D1328" s="4" t="s">
        <v>1986</v>
      </c>
      <c r="E1328" s="4" t="str">
        <f>"000222010"</f>
        <v>000222010</v>
      </c>
      <c r="F1328" s="10">
        <v>40094</v>
      </c>
      <c r="G1328" s="11">
        <v>6000</v>
      </c>
      <c r="H1328" s="11">
        <v>6000</v>
      </c>
      <c r="I1328" s="4" t="s">
        <v>366</v>
      </c>
      <c r="J1328" s="4" t="s">
        <v>367</v>
      </c>
      <c r="K1328" s="11">
        <v>0</v>
      </c>
      <c r="L1328" s="4"/>
      <c r="M1328" s="4"/>
      <c r="N1328" s="11">
        <v>0</v>
      </c>
      <c r="O1328" s="4"/>
      <c r="P1328" s="4"/>
      <c r="Q1328" s="11">
        <v>0</v>
      </c>
      <c r="R1328" s="4"/>
      <c r="S1328" s="12"/>
    </row>
    <row r="1329" spans="1:19" x14ac:dyDescent="0.25">
      <c r="A1329" s="9" t="s">
        <v>485</v>
      </c>
      <c r="B1329" s="9" t="s">
        <v>485</v>
      </c>
      <c r="C1329" s="4">
        <v>201000020</v>
      </c>
      <c r="D1329" s="4" t="s">
        <v>1987</v>
      </c>
      <c r="E1329" s="4" t="str">
        <f>"000282010"</f>
        <v>000282010</v>
      </c>
      <c r="F1329" s="10">
        <v>40094</v>
      </c>
      <c r="G1329" s="11">
        <v>16350</v>
      </c>
      <c r="H1329" s="11">
        <v>16350</v>
      </c>
      <c r="I1329" s="4" t="s">
        <v>366</v>
      </c>
      <c r="J1329" s="4" t="s">
        <v>367</v>
      </c>
      <c r="K1329" s="11">
        <v>0</v>
      </c>
      <c r="L1329" s="4"/>
      <c r="M1329" s="4"/>
      <c r="N1329" s="11">
        <v>0</v>
      </c>
      <c r="O1329" s="4"/>
      <c r="P1329" s="4"/>
      <c r="Q1329" s="11">
        <v>0</v>
      </c>
      <c r="R1329" s="4"/>
      <c r="S1329" s="12"/>
    </row>
    <row r="1330" spans="1:19" x14ac:dyDescent="0.25">
      <c r="A1330" s="9" t="s">
        <v>485</v>
      </c>
      <c r="B1330" s="9" t="s">
        <v>485</v>
      </c>
      <c r="C1330" s="4">
        <v>201000022</v>
      </c>
      <c r="D1330" s="4" t="s">
        <v>1988</v>
      </c>
      <c r="E1330" s="4" t="str">
        <f>"000302010"</f>
        <v>000302010</v>
      </c>
      <c r="F1330" s="10">
        <v>40094</v>
      </c>
      <c r="G1330" s="11">
        <v>11136.99</v>
      </c>
      <c r="H1330" s="11">
        <v>11136.99</v>
      </c>
      <c r="I1330" s="4" t="s">
        <v>366</v>
      </c>
      <c r="J1330" s="4" t="s">
        <v>367</v>
      </c>
      <c r="K1330" s="11">
        <v>0</v>
      </c>
      <c r="L1330" s="4"/>
      <c r="M1330" s="4"/>
      <c r="N1330" s="11">
        <v>0</v>
      </c>
      <c r="O1330" s="4"/>
      <c r="P1330" s="4"/>
      <c r="Q1330" s="11">
        <v>0</v>
      </c>
      <c r="R1330" s="4"/>
      <c r="S1330" s="12"/>
    </row>
    <row r="1331" spans="1:19" x14ac:dyDescent="0.25">
      <c r="A1331" s="9" t="s">
        <v>485</v>
      </c>
      <c r="B1331" s="9" t="s">
        <v>485</v>
      </c>
      <c r="C1331" s="4">
        <v>201000033</v>
      </c>
      <c r="D1331" s="4" t="s">
        <v>1989</v>
      </c>
      <c r="E1331" s="4" t="str">
        <f>"001922010"</f>
        <v>001922010</v>
      </c>
      <c r="F1331" s="10">
        <v>40094</v>
      </c>
      <c r="G1331" s="11">
        <v>0</v>
      </c>
      <c r="H1331" s="11">
        <v>27500</v>
      </c>
      <c r="I1331" s="4" t="s">
        <v>366</v>
      </c>
      <c r="J1331" s="4" t="s">
        <v>367</v>
      </c>
      <c r="K1331" s="11">
        <v>0</v>
      </c>
      <c r="L1331" s="4"/>
      <c r="M1331" s="4"/>
      <c r="N1331" s="11">
        <v>0</v>
      </c>
      <c r="O1331" s="4"/>
      <c r="P1331" s="4"/>
      <c r="Q1331" s="11">
        <v>0</v>
      </c>
      <c r="R1331" s="4"/>
      <c r="S1331" s="12"/>
    </row>
    <row r="1332" spans="1:19" x14ac:dyDescent="0.25">
      <c r="A1332" s="9" t="s">
        <v>485</v>
      </c>
      <c r="B1332" s="9" t="s">
        <v>485</v>
      </c>
      <c r="C1332" s="4">
        <v>201000039</v>
      </c>
      <c r="D1332" s="4"/>
      <c r="E1332" s="4" t="str">
        <f>"000722010"</f>
        <v>000722010</v>
      </c>
      <c r="F1332" s="10">
        <v>40092</v>
      </c>
      <c r="G1332" s="11">
        <v>12983</v>
      </c>
      <c r="H1332" s="11">
        <v>12983</v>
      </c>
      <c r="I1332" s="4" t="s">
        <v>366</v>
      </c>
      <c r="J1332" s="4" t="s">
        <v>367</v>
      </c>
      <c r="K1332" s="11">
        <v>0</v>
      </c>
      <c r="L1332" s="4"/>
      <c r="M1332" s="4"/>
      <c r="N1332" s="11">
        <v>0</v>
      </c>
      <c r="O1332" s="4"/>
      <c r="P1332" s="4"/>
      <c r="Q1332" s="11">
        <v>0</v>
      </c>
      <c r="R1332" s="4"/>
      <c r="S1332" s="12"/>
    </row>
    <row r="1333" spans="1:19" x14ac:dyDescent="0.25">
      <c r="A1333" s="9" t="s">
        <v>485</v>
      </c>
      <c r="B1333" s="9" t="s">
        <v>485</v>
      </c>
      <c r="C1333" s="4">
        <v>201000040</v>
      </c>
      <c r="D1333" s="4"/>
      <c r="E1333" s="4" t="str">
        <f>"000822010"</f>
        <v>000822010</v>
      </c>
      <c r="F1333" s="10">
        <v>40094</v>
      </c>
      <c r="G1333" s="11">
        <v>5348.24</v>
      </c>
      <c r="H1333" s="11">
        <v>5348.24</v>
      </c>
      <c r="I1333" s="4" t="s">
        <v>366</v>
      </c>
      <c r="J1333" s="4" t="s">
        <v>367</v>
      </c>
      <c r="K1333" s="11">
        <v>0</v>
      </c>
      <c r="L1333" s="4"/>
      <c r="M1333" s="4"/>
      <c r="N1333" s="11">
        <v>0</v>
      </c>
      <c r="O1333" s="4"/>
      <c r="P1333" s="4"/>
      <c r="Q1333" s="11">
        <v>0</v>
      </c>
      <c r="R1333" s="4"/>
      <c r="S1333" s="12"/>
    </row>
    <row r="1334" spans="1:19" x14ac:dyDescent="0.25">
      <c r="A1334" s="9" t="s">
        <v>485</v>
      </c>
      <c r="B1334" s="9" t="s">
        <v>485</v>
      </c>
      <c r="C1334" s="4">
        <v>201000048</v>
      </c>
      <c r="D1334" s="4"/>
      <c r="E1334" s="4" t="str">
        <f>"001062010"</f>
        <v>001062010</v>
      </c>
      <c r="F1334" s="10">
        <v>40094</v>
      </c>
      <c r="G1334" s="11">
        <v>5041.5600000000004</v>
      </c>
      <c r="H1334" s="11">
        <v>5041.5600000000004</v>
      </c>
      <c r="I1334" s="4" t="s">
        <v>366</v>
      </c>
      <c r="J1334" s="4" t="s">
        <v>367</v>
      </c>
      <c r="K1334" s="11">
        <v>0</v>
      </c>
      <c r="L1334" s="4"/>
      <c r="M1334" s="4"/>
      <c r="N1334" s="11">
        <v>0</v>
      </c>
      <c r="O1334" s="4"/>
      <c r="P1334" s="4"/>
      <c r="Q1334" s="11">
        <v>0</v>
      </c>
      <c r="R1334" s="4"/>
      <c r="S1334" s="12"/>
    </row>
    <row r="1335" spans="1:19" x14ac:dyDescent="0.25">
      <c r="A1335" s="9" t="s">
        <v>485</v>
      </c>
      <c r="B1335" s="9" t="s">
        <v>485</v>
      </c>
      <c r="C1335" s="4">
        <v>201000054</v>
      </c>
      <c r="D1335" s="4" t="s">
        <v>1990</v>
      </c>
      <c r="E1335" s="4" t="str">
        <f>"000482010"</f>
        <v>000482010</v>
      </c>
      <c r="F1335" s="10">
        <v>40092</v>
      </c>
      <c r="G1335" s="11">
        <v>13500</v>
      </c>
      <c r="H1335" s="11">
        <v>13500</v>
      </c>
      <c r="I1335" s="4" t="s">
        <v>366</v>
      </c>
      <c r="J1335" s="4" t="s">
        <v>367</v>
      </c>
      <c r="K1335" s="11">
        <v>0</v>
      </c>
      <c r="L1335" s="4"/>
      <c r="M1335" s="4"/>
      <c r="N1335" s="11">
        <v>0</v>
      </c>
      <c r="O1335" s="4"/>
      <c r="P1335" s="4"/>
      <c r="Q1335" s="11">
        <v>0</v>
      </c>
      <c r="R1335" s="4"/>
      <c r="S1335" s="12"/>
    </row>
    <row r="1336" spans="1:19" x14ac:dyDescent="0.25">
      <c r="A1336" s="9" t="s">
        <v>485</v>
      </c>
      <c r="B1336" s="9" t="s">
        <v>485</v>
      </c>
      <c r="C1336" s="4">
        <v>201000057</v>
      </c>
      <c r="D1336" s="4"/>
      <c r="E1336" s="4" t="str">
        <f>"001462010"</f>
        <v>001462010</v>
      </c>
      <c r="F1336" s="10">
        <v>40094</v>
      </c>
      <c r="G1336" s="11">
        <v>26000</v>
      </c>
      <c r="H1336" s="11">
        <v>26000</v>
      </c>
      <c r="I1336" s="4" t="s">
        <v>1752</v>
      </c>
      <c r="J1336" s="4" t="s">
        <v>1753</v>
      </c>
      <c r="K1336" s="11">
        <v>0</v>
      </c>
      <c r="L1336" s="4"/>
      <c r="M1336" s="4"/>
      <c r="N1336" s="11">
        <v>0</v>
      </c>
      <c r="O1336" s="4"/>
      <c r="P1336" s="4"/>
      <c r="Q1336" s="11">
        <v>0</v>
      </c>
      <c r="R1336" s="4"/>
      <c r="S1336" s="12"/>
    </row>
    <row r="1337" spans="1:19" x14ac:dyDescent="0.25">
      <c r="A1337" s="9" t="s">
        <v>485</v>
      </c>
      <c r="B1337" s="9" t="s">
        <v>485</v>
      </c>
      <c r="C1337" s="4">
        <v>201000061</v>
      </c>
      <c r="D1337" s="4" t="s">
        <v>1991</v>
      </c>
      <c r="E1337" s="4" t="str">
        <f>"001442010"</f>
        <v>001442010</v>
      </c>
      <c r="F1337" s="10">
        <v>40094</v>
      </c>
      <c r="G1337" s="11">
        <v>10000</v>
      </c>
      <c r="H1337" s="11">
        <v>10000</v>
      </c>
      <c r="I1337" s="4" t="s">
        <v>54</v>
      </c>
      <c r="J1337" s="4" t="s">
        <v>55</v>
      </c>
      <c r="K1337" s="11">
        <v>0</v>
      </c>
      <c r="L1337" s="4"/>
      <c r="M1337" s="4"/>
      <c r="N1337" s="11">
        <v>0</v>
      </c>
      <c r="O1337" s="4"/>
      <c r="P1337" s="4"/>
      <c r="Q1337" s="11">
        <v>0</v>
      </c>
      <c r="R1337" s="4"/>
      <c r="S1337" s="12"/>
    </row>
    <row r="1338" spans="1:19" x14ac:dyDescent="0.25">
      <c r="A1338" s="9" t="s">
        <v>485</v>
      </c>
      <c r="B1338" s="9" t="s">
        <v>485</v>
      </c>
      <c r="C1338" s="4">
        <v>201000076</v>
      </c>
      <c r="D1338" s="4"/>
      <c r="E1338" s="4" t="str">
        <f>"001282010"</f>
        <v>001282010</v>
      </c>
      <c r="F1338" s="10">
        <v>40094</v>
      </c>
      <c r="G1338" s="11">
        <v>5165.37</v>
      </c>
      <c r="H1338" s="11">
        <v>5165.37</v>
      </c>
      <c r="I1338" s="4" t="s">
        <v>366</v>
      </c>
      <c r="J1338" s="4" t="s">
        <v>367</v>
      </c>
      <c r="K1338" s="11">
        <v>0</v>
      </c>
      <c r="L1338" s="4"/>
      <c r="M1338" s="4"/>
      <c r="N1338" s="11">
        <v>0</v>
      </c>
      <c r="O1338" s="4"/>
      <c r="P1338" s="4"/>
      <c r="Q1338" s="11">
        <v>0</v>
      </c>
      <c r="R1338" s="4"/>
      <c r="S1338" s="12"/>
    </row>
    <row r="1339" spans="1:19" x14ac:dyDescent="0.25">
      <c r="A1339" s="9" t="s">
        <v>485</v>
      </c>
      <c r="B1339" s="9" t="s">
        <v>485</v>
      </c>
      <c r="C1339" s="4">
        <v>201000078</v>
      </c>
      <c r="D1339" s="4"/>
      <c r="E1339" s="4" t="str">
        <f>"002342010"</f>
        <v>002342010</v>
      </c>
      <c r="F1339" s="10">
        <v>40095</v>
      </c>
      <c r="G1339" s="11">
        <v>8242.41</v>
      </c>
      <c r="H1339" s="11">
        <v>8242.41</v>
      </c>
      <c r="I1339" s="4" t="s">
        <v>366</v>
      </c>
      <c r="J1339" s="4" t="s">
        <v>367</v>
      </c>
      <c r="K1339" s="11">
        <v>0</v>
      </c>
      <c r="L1339" s="4"/>
      <c r="M1339" s="4"/>
      <c r="N1339" s="11">
        <v>0</v>
      </c>
      <c r="O1339" s="4"/>
      <c r="P1339" s="4"/>
      <c r="Q1339" s="11">
        <v>0</v>
      </c>
      <c r="R1339" s="4"/>
      <c r="S1339" s="12"/>
    </row>
    <row r="1340" spans="1:19" x14ac:dyDescent="0.25">
      <c r="A1340" s="9" t="s">
        <v>485</v>
      </c>
      <c r="B1340" s="9" t="s">
        <v>485</v>
      </c>
      <c r="C1340" s="4">
        <v>201000094</v>
      </c>
      <c r="D1340" s="4"/>
      <c r="E1340" s="4" t="str">
        <f>"001382010"</f>
        <v>001382010</v>
      </c>
      <c r="F1340" s="10">
        <v>40094</v>
      </c>
      <c r="G1340" s="11">
        <v>2694.03</v>
      </c>
      <c r="H1340" s="11">
        <v>2694.03</v>
      </c>
      <c r="I1340" s="4" t="s">
        <v>366</v>
      </c>
      <c r="J1340" s="4" t="s">
        <v>367</v>
      </c>
      <c r="K1340" s="11">
        <v>0</v>
      </c>
      <c r="L1340" s="4"/>
      <c r="M1340" s="4"/>
      <c r="N1340" s="11">
        <v>0</v>
      </c>
      <c r="O1340" s="4"/>
      <c r="P1340" s="4"/>
      <c r="Q1340" s="11">
        <v>0</v>
      </c>
      <c r="R1340" s="4"/>
      <c r="S1340" s="12"/>
    </row>
    <row r="1341" spans="1:19" x14ac:dyDescent="0.25">
      <c r="A1341" s="9" t="s">
        <v>485</v>
      </c>
      <c r="B1341" s="9" t="s">
        <v>485</v>
      </c>
      <c r="C1341" s="4">
        <v>201000104</v>
      </c>
      <c r="D1341" s="4"/>
      <c r="E1341" s="4" t="str">
        <f>"001622010"</f>
        <v>001622010</v>
      </c>
      <c r="F1341" s="10">
        <v>40094</v>
      </c>
      <c r="G1341" s="11">
        <v>4898.8</v>
      </c>
      <c r="H1341" s="11">
        <v>4898.8</v>
      </c>
      <c r="I1341" s="4" t="s">
        <v>366</v>
      </c>
      <c r="J1341" s="4" t="s">
        <v>367</v>
      </c>
      <c r="K1341" s="11">
        <v>0</v>
      </c>
      <c r="L1341" s="4"/>
      <c r="M1341" s="4"/>
      <c r="N1341" s="11">
        <v>0</v>
      </c>
      <c r="O1341" s="4"/>
      <c r="P1341" s="4"/>
      <c r="Q1341" s="11">
        <v>0</v>
      </c>
      <c r="R1341" s="4"/>
      <c r="S1341" s="12"/>
    </row>
    <row r="1342" spans="1:19" x14ac:dyDescent="0.25">
      <c r="A1342" s="9" t="s">
        <v>485</v>
      </c>
      <c r="B1342" s="9" t="s">
        <v>485</v>
      </c>
      <c r="C1342" s="4">
        <v>201000108</v>
      </c>
      <c r="D1342" s="4" t="s">
        <v>1992</v>
      </c>
      <c r="E1342" s="4" t="str">
        <f>"001602010"</f>
        <v>001602010</v>
      </c>
      <c r="F1342" s="10">
        <v>40094</v>
      </c>
      <c r="G1342" s="11">
        <v>24068.400000000001</v>
      </c>
      <c r="H1342" s="11">
        <v>24068.400000000001</v>
      </c>
      <c r="I1342" s="4" t="s">
        <v>366</v>
      </c>
      <c r="J1342" s="4" t="s">
        <v>367</v>
      </c>
      <c r="K1342" s="11">
        <v>0</v>
      </c>
      <c r="L1342" s="4"/>
      <c r="M1342" s="4"/>
      <c r="N1342" s="11">
        <v>0</v>
      </c>
      <c r="O1342" s="4"/>
      <c r="P1342" s="4"/>
      <c r="Q1342" s="11">
        <v>0</v>
      </c>
      <c r="R1342" s="4"/>
      <c r="S1342" s="12"/>
    </row>
    <row r="1343" spans="1:19" x14ac:dyDescent="0.25">
      <c r="A1343" s="9" t="s">
        <v>485</v>
      </c>
      <c r="B1343" s="9" t="s">
        <v>485</v>
      </c>
      <c r="C1343" s="4">
        <v>201000109</v>
      </c>
      <c r="D1343" s="4" t="s">
        <v>1993</v>
      </c>
      <c r="E1343" s="4" t="str">
        <f>"002102010"</f>
        <v>002102010</v>
      </c>
      <c r="F1343" s="10">
        <v>40095</v>
      </c>
      <c r="G1343" s="11">
        <v>24068.400000000001</v>
      </c>
      <c r="H1343" s="11">
        <v>24068.400000000001</v>
      </c>
      <c r="I1343" s="4" t="s">
        <v>366</v>
      </c>
      <c r="J1343" s="4" t="s">
        <v>367</v>
      </c>
      <c r="K1343" s="11">
        <v>0</v>
      </c>
      <c r="L1343" s="4"/>
      <c r="M1343" s="4"/>
      <c r="N1343" s="11">
        <v>0</v>
      </c>
      <c r="O1343" s="4"/>
      <c r="P1343" s="4"/>
      <c r="Q1343" s="11">
        <v>0</v>
      </c>
      <c r="R1343" s="4"/>
      <c r="S1343" s="12"/>
    </row>
    <row r="1344" spans="1:19" x14ac:dyDescent="0.25">
      <c r="A1344" s="9" t="s">
        <v>485</v>
      </c>
      <c r="B1344" s="9" t="s">
        <v>485</v>
      </c>
      <c r="C1344" s="4">
        <v>201000118</v>
      </c>
      <c r="D1344" s="4" t="s">
        <v>1994</v>
      </c>
      <c r="E1344" s="4" t="str">
        <f>"001902010"</f>
        <v>001902010</v>
      </c>
      <c r="F1344" s="10">
        <v>40094</v>
      </c>
      <c r="G1344" s="11">
        <v>50000</v>
      </c>
      <c r="H1344" s="11">
        <v>50000</v>
      </c>
      <c r="I1344" s="4" t="s">
        <v>366</v>
      </c>
      <c r="J1344" s="4" t="s">
        <v>367</v>
      </c>
      <c r="K1344" s="11">
        <v>0</v>
      </c>
      <c r="L1344" s="4"/>
      <c r="M1344" s="4"/>
      <c r="N1344" s="11">
        <v>0</v>
      </c>
      <c r="O1344" s="4"/>
      <c r="P1344" s="4"/>
      <c r="Q1344" s="11">
        <v>0</v>
      </c>
      <c r="R1344" s="4"/>
      <c r="S1344" s="12"/>
    </row>
    <row r="1345" spans="1:19" x14ac:dyDescent="0.25">
      <c r="A1345" s="9" t="s">
        <v>485</v>
      </c>
      <c r="B1345" s="9" t="s">
        <v>485</v>
      </c>
      <c r="C1345" s="4">
        <v>201000134</v>
      </c>
      <c r="D1345" s="4" t="s">
        <v>1995</v>
      </c>
      <c r="E1345" s="4" t="str">
        <f>"002082010"</f>
        <v>002082010</v>
      </c>
      <c r="F1345" s="10">
        <v>40095</v>
      </c>
      <c r="G1345" s="11">
        <v>23396.67</v>
      </c>
      <c r="H1345" s="11">
        <v>23396.67</v>
      </c>
      <c r="I1345" s="4" t="s">
        <v>366</v>
      </c>
      <c r="J1345" s="4" t="s">
        <v>367</v>
      </c>
      <c r="K1345" s="11">
        <v>0</v>
      </c>
      <c r="L1345" s="4"/>
      <c r="M1345" s="4"/>
      <c r="N1345" s="11">
        <v>0</v>
      </c>
      <c r="O1345" s="4"/>
      <c r="P1345" s="4"/>
      <c r="Q1345" s="11">
        <v>0</v>
      </c>
      <c r="R1345" s="4"/>
      <c r="S1345" s="12"/>
    </row>
    <row r="1346" spans="1:19" x14ac:dyDescent="0.25">
      <c r="A1346" s="9" t="s">
        <v>485</v>
      </c>
      <c r="B1346" s="9" t="s">
        <v>485</v>
      </c>
      <c r="C1346" s="4">
        <v>201000164</v>
      </c>
      <c r="D1346" s="4"/>
      <c r="E1346" s="4" t="str">
        <f>"002682010"</f>
        <v>002682010</v>
      </c>
      <c r="F1346" s="10">
        <v>40100</v>
      </c>
      <c r="G1346" s="11">
        <v>3550.61</v>
      </c>
      <c r="H1346" s="11">
        <v>3550.61</v>
      </c>
      <c r="I1346" s="4" t="s">
        <v>366</v>
      </c>
      <c r="J1346" s="4" t="s">
        <v>367</v>
      </c>
      <c r="K1346" s="11">
        <v>0</v>
      </c>
      <c r="L1346" s="4"/>
      <c r="M1346" s="4"/>
      <c r="N1346" s="11">
        <v>0</v>
      </c>
      <c r="O1346" s="4"/>
      <c r="P1346" s="4"/>
      <c r="Q1346" s="11">
        <v>0</v>
      </c>
      <c r="R1346" s="4"/>
      <c r="S1346" s="12"/>
    </row>
    <row r="1347" spans="1:19" x14ac:dyDescent="0.25">
      <c r="A1347" s="9" t="s">
        <v>485</v>
      </c>
      <c r="B1347" s="9" t="s">
        <v>485</v>
      </c>
      <c r="C1347" s="4">
        <v>201000166</v>
      </c>
      <c r="D1347" s="4"/>
      <c r="E1347" s="4" t="str">
        <f>"002942010"</f>
        <v>002942010</v>
      </c>
      <c r="F1347" s="10">
        <v>40100</v>
      </c>
      <c r="G1347" s="11">
        <v>8915.93</v>
      </c>
      <c r="H1347" s="11">
        <v>8915.93</v>
      </c>
      <c r="I1347" s="4" t="s">
        <v>366</v>
      </c>
      <c r="J1347" s="4" t="s">
        <v>367</v>
      </c>
      <c r="K1347" s="11">
        <v>0</v>
      </c>
      <c r="L1347" s="4"/>
      <c r="M1347" s="4"/>
      <c r="N1347" s="11">
        <v>0</v>
      </c>
      <c r="O1347" s="4"/>
      <c r="P1347" s="4"/>
      <c r="Q1347" s="11">
        <v>0</v>
      </c>
      <c r="R1347" s="4"/>
      <c r="S1347" s="12"/>
    </row>
    <row r="1348" spans="1:19" x14ac:dyDescent="0.25">
      <c r="A1348" s="9" t="s">
        <v>485</v>
      </c>
      <c r="B1348" s="9" t="s">
        <v>485</v>
      </c>
      <c r="C1348" s="4">
        <v>201000176</v>
      </c>
      <c r="D1348" s="4" t="s">
        <v>1996</v>
      </c>
      <c r="E1348" s="4" t="str">
        <f>"004062010"</f>
        <v>004062010</v>
      </c>
      <c r="F1348" s="10">
        <v>40102</v>
      </c>
      <c r="G1348" s="11">
        <v>180000</v>
      </c>
      <c r="H1348" s="11">
        <v>180000</v>
      </c>
      <c r="I1348" s="4" t="s">
        <v>366</v>
      </c>
      <c r="J1348" s="4" t="s">
        <v>367</v>
      </c>
      <c r="K1348" s="11">
        <v>0</v>
      </c>
      <c r="L1348" s="4"/>
      <c r="M1348" s="4"/>
      <c r="N1348" s="11">
        <v>0</v>
      </c>
      <c r="O1348" s="4"/>
      <c r="P1348" s="4"/>
      <c r="Q1348" s="11">
        <v>0</v>
      </c>
      <c r="R1348" s="4"/>
      <c r="S1348" s="12"/>
    </row>
    <row r="1349" spans="1:19" x14ac:dyDescent="0.25">
      <c r="A1349" s="9" t="s">
        <v>485</v>
      </c>
      <c r="B1349" s="9" t="s">
        <v>485</v>
      </c>
      <c r="C1349" s="4">
        <v>201000184</v>
      </c>
      <c r="D1349" s="4"/>
      <c r="E1349" s="4" t="str">
        <f>"003122010"</f>
        <v>003122010</v>
      </c>
      <c r="F1349" s="10">
        <v>40101</v>
      </c>
      <c r="G1349" s="11">
        <v>5881.92</v>
      </c>
      <c r="H1349" s="11">
        <v>5881.92</v>
      </c>
      <c r="I1349" s="4" t="s">
        <v>366</v>
      </c>
      <c r="J1349" s="4" t="s">
        <v>367</v>
      </c>
      <c r="K1349" s="11">
        <v>0</v>
      </c>
      <c r="L1349" s="4"/>
      <c r="M1349" s="4"/>
      <c r="N1349" s="11">
        <v>0</v>
      </c>
      <c r="O1349" s="4"/>
      <c r="P1349" s="4"/>
      <c r="Q1349" s="11">
        <v>0</v>
      </c>
      <c r="R1349" s="4"/>
      <c r="S1349" s="12"/>
    </row>
    <row r="1350" spans="1:19" x14ac:dyDescent="0.25">
      <c r="A1350" s="9" t="s">
        <v>485</v>
      </c>
      <c r="B1350" s="9" t="s">
        <v>485</v>
      </c>
      <c r="C1350" s="4">
        <v>201000190</v>
      </c>
      <c r="D1350" s="4"/>
      <c r="E1350" s="4" t="str">
        <f>"003282010"</f>
        <v>003282010</v>
      </c>
      <c r="F1350" s="10">
        <v>40101</v>
      </c>
      <c r="G1350" s="11">
        <v>8164.6</v>
      </c>
      <c r="H1350" s="11">
        <v>8164.6</v>
      </c>
      <c r="I1350" s="4" t="s">
        <v>366</v>
      </c>
      <c r="J1350" s="4" t="s">
        <v>367</v>
      </c>
      <c r="K1350" s="11">
        <v>0</v>
      </c>
      <c r="L1350" s="4"/>
      <c r="M1350" s="4"/>
      <c r="N1350" s="11">
        <v>0</v>
      </c>
      <c r="O1350" s="4"/>
      <c r="P1350" s="4"/>
      <c r="Q1350" s="11">
        <v>0</v>
      </c>
      <c r="R1350" s="4"/>
      <c r="S1350" s="12"/>
    </row>
    <row r="1351" spans="1:19" x14ac:dyDescent="0.25">
      <c r="A1351" s="9" t="s">
        <v>485</v>
      </c>
      <c r="B1351" s="9" t="s">
        <v>485</v>
      </c>
      <c r="C1351" s="4">
        <v>201000197</v>
      </c>
      <c r="D1351" s="4"/>
      <c r="E1351" s="4" t="str">
        <f>"005732010"</f>
        <v>005732010</v>
      </c>
      <c r="F1351" s="10">
        <v>40109</v>
      </c>
      <c r="G1351" s="11">
        <v>4994.95</v>
      </c>
      <c r="H1351" s="11">
        <v>4994.95</v>
      </c>
      <c r="I1351" s="4" t="s">
        <v>366</v>
      </c>
      <c r="J1351" s="4" t="s">
        <v>367</v>
      </c>
      <c r="K1351" s="11">
        <v>0</v>
      </c>
      <c r="L1351" s="4"/>
      <c r="M1351" s="4"/>
      <c r="N1351" s="11">
        <v>0</v>
      </c>
      <c r="O1351" s="4"/>
      <c r="P1351" s="4"/>
      <c r="Q1351" s="11">
        <v>0</v>
      </c>
      <c r="R1351" s="4"/>
      <c r="S1351" s="12"/>
    </row>
    <row r="1352" spans="1:19" x14ac:dyDescent="0.25">
      <c r="A1352" s="9" t="s">
        <v>485</v>
      </c>
      <c r="B1352" s="9" t="s">
        <v>291</v>
      </c>
      <c r="C1352" s="4">
        <v>201000236</v>
      </c>
      <c r="D1352" s="4" t="s">
        <v>1997</v>
      </c>
      <c r="E1352" s="4" t="str">
        <f>"008272010"</f>
        <v>008272010</v>
      </c>
      <c r="F1352" s="10">
        <v>40120</v>
      </c>
      <c r="G1352" s="11">
        <v>3216.72</v>
      </c>
      <c r="H1352" s="11">
        <v>0</v>
      </c>
      <c r="I1352" s="4"/>
      <c r="J1352" s="4"/>
      <c r="K1352" s="11">
        <v>0</v>
      </c>
      <c r="L1352" s="4"/>
      <c r="M1352" s="4"/>
      <c r="N1352" s="11">
        <v>3216.72</v>
      </c>
      <c r="O1352" s="4" t="s">
        <v>56</v>
      </c>
      <c r="P1352" s="4" t="s">
        <v>57</v>
      </c>
      <c r="Q1352" s="11">
        <v>0</v>
      </c>
      <c r="R1352" s="4"/>
      <c r="S1352" s="12"/>
    </row>
    <row r="1353" spans="1:19" x14ac:dyDescent="0.25">
      <c r="A1353" s="9" t="s">
        <v>485</v>
      </c>
      <c r="B1353" s="9" t="s">
        <v>485</v>
      </c>
      <c r="C1353" s="4">
        <v>201000242</v>
      </c>
      <c r="D1353" s="4"/>
      <c r="E1353" s="4" t="str">
        <f>"004182010"</f>
        <v>004182010</v>
      </c>
      <c r="F1353" s="10">
        <v>40105</v>
      </c>
      <c r="G1353" s="11">
        <v>6880.48</v>
      </c>
      <c r="H1353" s="11">
        <v>6880.48</v>
      </c>
      <c r="I1353" s="4" t="s">
        <v>366</v>
      </c>
      <c r="J1353" s="4" t="s">
        <v>367</v>
      </c>
      <c r="K1353" s="11">
        <v>0</v>
      </c>
      <c r="L1353" s="4"/>
      <c r="M1353" s="4"/>
      <c r="N1353" s="11">
        <v>0</v>
      </c>
      <c r="O1353" s="4"/>
      <c r="P1353" s="4"/>
      <c r="Q1353" s="11">
        <v>0</v>
      </c>
      <c r="R1353" s="4"/>
      <c r="S1353" s="12"/>
    </row>
    <row r="1354" spans="1:19" x14ac:dyDescent="0.25">
      <c r="A1354" s="9" t="s">
        <v>485</v>
      </c>
      <c r="B1354" s="9" t="s">
        <v>485</v>
      </c>
      <c r="C1354" s="4">
        <v>201000252</v>
      </c>
      <c r="D1354" s="4" t="s">
        <v>1998</v>
      </c>
      <c r="E1354" s="4" t="str">
        <f>"004452010"</f>
        <v>004452010</v>
      </c>
      <c r="F1354" s="10">
        <v>40107</v>
      </c>
      <c r="G1354" s="11">
        <v>19000</v>
      </c>
      <c r="H1354" s="11">
        <v>15200</v>
      </c>
      <c r="I1354" s="4" t="s">
        <v>366</v>
      </c>
      <c r="J1354" s="4" t="s">
        <v>367</v>
      </c>
      <c r="K1354" s="11">
        <v>3800</v>
      </c>
      <c r="L1354" s="4" t="s">
        <v>366</v>
      </c>
      <c r="M1354" s="4" t="s">
        <v>367</v>
      </c>
      <c r="N1354" s="11">
        <v>0</v>
      </c>
      <c r="O1354" s="4"/>
      <c r="P1354" s="4"/>
      <c r="Q1354" s="11">
        <v>0</v>
      </c>
      <c r="R1354" s="4"/>
      <c r="S1354" s="12"/>
    </row>
    <row r="1355" spans="1:19" x14ac:dyDescent="0.25">
      <c r="A1355" s="9" t="s">
        <v>485</v>
      </c>
      <c r="B1355" s="9" t="s">
        <v>485</v>
      </c>
      <c r="C1355" s="4">
        <v>201000258</v>
      </c>
      <c r="D1355" s="4" t="s">
        <v>1999</v>
      </c>
      <c r="E1355" s="4" t="str">
        <f>"005052010"</f>
        <v>005052010</v>
      </c>
      <c r="F1355" s="10">
        <v>40109</v>
      </c>
      <c r="G1355" s="11">
        <v>24760.32</v>
      </c>
      <c r="H1355" s="11">
        <v>24760.32</v>
      </c>
      <c r="I1355" s="4" t="s">
        <v>366</v>
      </c>
      <c r="J1355" s="4" t="s">
        <v>367</v>
      </c>
      <c r="K1355" s="11">
        <v>0</v>
      </c>
      <c r="L1355" s="4"/>
      <c r="M1355" s="4"/>
      <c r="N1355" s="11">
        <v>0</v>
      </c>
      <c r="O1355" s="4"/>
      <c r="P1355" s="4"/>
      <c r="Q1355" s="11">
        <v>0</v>
      </c>
      <c r="R1355" s="4"/>
      <c r="S1355" s="12"/>
    </row>
    <row r="1356" spans="1:19" x14ac:dyDescent="0.25">
      <c r="A1356" s="9" t="s">
        <v>485</v>
      </c>
      <c r="B1356" s="9" t="s">
        <v>485</v>
      </c>
      <c r="C1356" s="4">
        <v>201000266</v>
      </c>
      <c r="D1356" s="4"/>
      <c r="E1356" s="4" t="str">
        <f>"004632010"</f>
        <v>004632010</v>
      </c>
      <c r="F1356" s="10">
        <v>40106</v>
      </c>
      <c r="G1356" s="11">
        <v>5100</v>
      </c>
      <c r="H1356" s="11">
        <v>5100</v>
      </c>
      <c r="I1356" s="4" t="s">
        <v>366</v>
      </c>
      <c r="J1356" s="4" t="s">
        <v>367</v>
      </c>
      <c r="K1356" s="11">
        <v>0</v>
      </c>
      <c r="L1356" s="4"/>
      <c r="M1356" s="4"/>
      <c r="N1356" s="11">
        <v>0</v>
      </c>
      <c r="O1356" s="4"/>
      <c r="P1356" s="4"/>
      <c r="Q1356" s="11">
        <v>0</v>
      </c>
      <c r="R1356" s="4"/>
      <c r="S1356" s="12"/>
    </row>
    <row r="1357" spans="1:19" x14ac:dyDescent="0.25">
      <c r="A1357" s="9" t="s">
        <v>485</v>
      </c>
      <c r="B1357" s="9" t="s">
        <v>485</v>
      </c>
      <c r="C1357" s="4">
        <v>201000267</v>
      </c>
      <c r="D1357" s="4" t="s">
        <v>2000</v>
      </c>
      <c r="E1357" s="4" t="str">
        <f>"004932010"</f>
        <v>004932010</v>
      </c>
      <c r="F1357" s="10">
        <v>40106</v>
      </c>
      <c r="G1357" s="11">
        <v>10000</v>
      </c>
      <c r="H1357" s="11">
        <v>10000</v>
      </c>
      <c r="I1357" s="4" t="s">
        <v>366</v>
      </c>
      <c r="J1357" s="4" t="s">
        <v>367</v>
      </c>
      <c r="K1357" s="11">
        <v>0</v>
      </c>
      <c r="L1357" s="4"/>
      <c r="M1357" s="4"/>
      <c r="N1357" s="11">
        <v>0</v>
      </c>
      <c r="O1357" s="4"/>
      <c r="P1357" s="4"/>
      <c r="Q1357" s="11">
        <v>0</v>
      </c>
      <c r="R1357" s="4"/>
      <c r="S1357" s="12"/>
    </row>
    <row r="1358" spans="1:19" x14ac:dyDescent="0.25">
      <c r="A1358" s="9" t="s">
        <v>485</v>
      </c>
      <c r="B1358" s="9" t="s">
        <v>485</v>
      </c>
      <c r="C1358" s="4">
        <v>201000268</v>
      </c>
      <c r="D1358" s="4"/>
      <c r="E1358" s="4" t="str">
        <f>"005932010"</f>
        <v>005932010</v>
      </c>
      <c r="F1358" s="10">
        <v>40112</v>
      </c>
      <c r="G1358" s="11">
        <v>13452.83</v>
      </c>
      <c r="H1358" s="11">
        <v>13452.83</v>
      </c>
      <c r="I1358" s="4" t="s">
        <v>366</v>
      </c>
      <c r="J1358" s="4" t="s">
        <v>367</v>
      </c>
      <c r="K1358" s="11">
        <v>0</v>
      </c>
      <c r="L1358" s="4"/>
      <c r="M1358" s="4"/>
      <c r="N1358" s="11">
        <v>0</v>
      </c>
      <c r="O1358" s="4"/>
      <c r="P1358" s="4"/>
      <c r="Q1358" s="11">
        <v>0</v>
      </c>
      <c r="R1358" s="4"/>
      <c r="S1358" s="12"/>
    </row>
    <row r="1359" spans="1:19" x14ac:dyDescent="0.25">
      <c r="A1359" s="9" t="s">
        <v>485</v>
      </c>
      <c r="B1359" s="9" t="s">
        <v>485</v>
      </c>
      <c r="C1359" s="4">
        <v>201000285</v>
      </c>
      <c r="D1359" s="4"/>
      <c r="E1359" s="4" t="str">
        <f>"005152010"</f>
        <v>005152010</v>
      </c>
      <c r="F1359" s="10">
        <v>40108</v>
      </c>
      <c r="G1359" s="11">
        <v>5339.65</v>
      </c>
      <c r="H1359" s="11">
        <v>5339.65</v>
      </c>
      <c r="I1359" s="4" t="s">
        <v>366</v>
      </c>
      <c r="J1359" s="4" t="s">
        <v>367</v>
      </c>
      <c r="K1359" s="11">
        <v>0</v>
      </c>
      <c r="L1359" s="4"/>
      <c r="M1359" s="4"/>
      <c r="N1359" s="11">
        <v>0</v>
      </c>
      <c r="O1359" s="4"/>
      <c r="P1359" s="4"/>
      <c r="Q1359" s="11">
        <v>0</v>
      </c>
      <c r="R1359" s="4"/>
      <c r="S1359" s="12"/>
    </row>
    <row r="1360" spans="1:19" x14ac:dyDescent="0.25">
      <c r="A1360" s="9" t="s">
        <v>485</v>
      </c>
      <c r="B1360" s="9" t="s">
        <v>485</v>
      </c>
      <c r="C1360" s="4">
        <v>201000289</v>
      </c>
      <c r="D1360" s="4"/>
      <c r="E1360" s="4" t="str">
        <f>"005232010"</f>
        <v>005232010</v>
      </c>
      <c r="F1360" s="10">
        <v>40108</v>
      </c>
      <c r="G1360" s="11">
        <v>3806.51</v>
      </c>
      <c r="H1360" s="11">
        <v>3806.51</v>
      </c>
      <c r="I1360" s="4" t="s">
        <v>366</v>
      </c>
      <c r="J1360" s="4" t="s">
        <v>367</v>
      </c>
      <c r="K1360" s="11">
        <v>0</v>
      </c>
      <c r="L1360" s="4"/>
      <c r="M1360" s="4"/>
      <c r="N1360" s="11">
        <v>0</v>
      </c>
      <c r="O1360" s="4"/>
      <c r="P1360" s="4"/>
      <c r="Q1360" s="11">
        <v>0</v>
      </c>
      <c r="R1360" s="4"/>
      <c r="S1360" s="12"/>
    </row>
    <row r="1361" spans="1:19" x14ac:dyDescent="0.25">
      <c r="A1361" s="9" t="s">
        <v>485</v>
      </c>
      <c r="B1361" s="9" t="s">
        <v>485</v>
      </c>
      <c r="C1361" s="4">
        <v>201000300</v>
      </c>
      <c r="D1361" s="4"/>
      <c r="E1361" s="4" t="str">
        <f>"005512010"</f>
        <v>005512010</v>
      </c>
      <c r="F1361" s="10">
        <v>40109</v>
      </c>
      <c r="G1361" s="11">
        <v>3986.8</v>
      </c>
      <c r="H1361" s="11">
        <v>3986.8</v>
      </c>
      <c r="I1361" s="4" t="s">
        <v>366</v>
      </c>
      <c r="J1361" s="4" t="s">
        <v>367</v>
      </c>
      <c r="K1361" s="11">
        <v>0</v>
      </c>
      <c r="L1361" s="4"/>
      <c r="M1361" s="4"/>
      <c r="N1361" s="11">
        <v>0</v>
      </c>
      <c r="O1361" s="4"/>
      <c r="P1361" s="4"/>
      <c r="Q1361" s="11">
        <v>0</v>
      </c>
      <c r="R1361" s="4"/>
      <c r="S1361" s="12"/>
    </row>
    <row r="1362" spans="1:19" x14ac:dyDescent="0.25">
      <c r="A1362" s="9" t="s">
        <v>485</v>
      </c>
      <c r="B1362" s="9" t="s">
        <v>485</v>
      </c>
      <c r="C1362" s="4">
        <v>201000304</v>
      </c>
      <c r="D1362" s="4"/>
      <c r="E1362" s="4" t="str">
        <f>"005592010"</f>
        <v>005592010</v>
      </c>
      <c r="F1362" s="10">
        <v>40109</v>
      </c>
      <c r="G1362" s="11">
        <v>5510.02</v>
      </c>
      <c r="H1362" s="11">
        <v>5510.02</v>
      </c>
      <c r="I1362" s="4" t="s">
        <v>366</v>
      </c>
      <c r="J1362" s="4" t="s">
        <v>367</v>
      </c>
      <c r="K1362" s="11">
        <v>0</v>
      </c>
      <c r="L1362" s="4"/>
      <c r="M1362" s="4"/>
      <c r="N1362" s="11">
        <v>0</v>
      </c>
      <c r="O1362" s="4"/>
      <c r="P1362" s="4"/>
      <c r="Q1362" s="11">
        <v>0</v>
      </c>
      <c r="R1362" s="4"/>
      <c r="S1362" s="12"/>
    </row>
    <row r="1363" spans="1:19" x14ac:dyDescent="0.25">
      <c r="A1363" s="9" t="s">
        <v>485</v>
      </c>
      <c r="B1363" s="9" t="s">
        <v>485</v>
      </c>
      <c r="C1363" s="4">
        <v>201000308</v>
      </c>
      <c r="D1363" s="4"/>
      <c r="E1363" s="4" t="str">
        <f>"005692010"</f>
        <v>005692010</v>
      </c>
      <c r="F1363" s="10">
        <v>40109</v>
      </c>
      <c r="G1363" s="11">
        <v>6772.36</v>
      </c>
      <c r="H1363" s="11">
        <v>6772.36</v>
      </c>
      <c r="I1363" s="4" t="s">
        <v>366</v>
      </c>
      <c r="J1363" s="4" t="s">
        <v>367</v>
      </c>
      <c r="K1363" s="11">
        <v>0</v>
      </c>
      <c r="L1363" s="4"/>
      <c r="M1363" s="4"/>
      <c r="N1363" s="11">
        <v>0</v>
      </c>
      <c r="O1363" s="4"/>
      <c r="P1363" s="4"/>
      <c r="Q1363" s="11">
        <v>0</v>
      </c>
      <c r="R1363" s="4"/>
      <c r="S1363" s="12"/>
    </row>
    <row r="1364" spans="1:19" x14ac:dyDescent="0.25">
      <c r="A1364" s="9" t="s">
        <v>485</v>
      </c>
      <c r="B1364" s="9" t="s">
        <v>485</v>
      </c>
      <c r="C1364" s="4">
        <v>201000315</v>
      </c>
      <c r="D1364" s="4"/>
      <c r="E1364" s="4" t="str">
        <f>"005952010"</f>
        <v>005952010</v>
      </c>
      <c r="F1364" s="10">
        <v>40112</v>
      </c>
      <c r="G1364" s="11">
        <v>3527.44</v>
      </c>
      <c r="H1364" s="11">
        <v>3527.44</v>
      </c>
      <c r="I1364" s="4" t="s">
        <v>366</v>
      </c>
      <c r="J1364" s="4" t="s">
        <v>367</v>
      </c>
      <c r="K1364" s="11">
        <v>0</v>
      </c>
      <c r="L1364" s="4"/>
      <c r="M1364" s="4"/>
      <c r="N1364" s="11">
        <v>0</v>
      </c>
      <c r="O1364" s="4"/>
      <c r="P1364" s="4"/>
      <c r="Q1364" s="11">
        <v>0</v>
      </c>
      <c r="R1364" s="4"/>
      <c r="S1364" s="12"/>
    </row>
    <row r="1365" spans="1:19" x14ac:dyDescent="0.25">
      <c r="A1365" s="9" t="s">
        <v>485</v>
      </c>
      <c r="B1365" s="9" t="s">
        <v>291</v>
      </c>
      <c r="C1365" s="4">
        <v>201000325</v>
      </c>
      <c r="D1365" s="4" t="s">
        <v>2001</v>
      </c>
      <c r="E1365" s="4" t="str">
        <f>"006252010"</f>
        <v>006252010</v>
      </c>
      <c r="F1365" s="10">
        <v>40112</v>
      </c>
      <c r="G1365" s="11">
        <v>2000</v>
      </c>
      <c r="H1365" s="11">
        <v>2000</v>
      </c>
      <c r="I1365" s="4" t="s">
        <v>366</v>
      </c>
      <c r="J1365" s="4" t="s">
        <v>367</v>
      </c>
      <c r="K1365" s="11">
        <v>0</v>
      </c>
      <c r="L1365" s="4"/>
      <c r="M1365" s="4"/>
      <c r="N1365" s="11">
        <v>0</v>
      </c>
      <c r="O1365" s="4"/>
      <c r="P1365" s="4"/>
      <c r="Q1365" s="11">
        <v>0</v>
      </c>
      <c r="R1365" s="4"/>
      <c r="S1365" s="12"/>
    </row>
    <row r="1366" spans="1:19" x14ac:dyDescent="0.25">
      <c r="A1366" s="9" t="s">
        <v>485</v>
      </c>
      <c r="B1366" s="9" t="s">
        <v>485</v>
      </c>
      <c r="C1366" s="4">
        <v>201000327</v>
      </c>
      <c r="D1366" s="4"/>
      <c r="E1366" s="4" t="str">
        <f>"006212010"</f>
        <v>006212010</v>
      </c>
      <c r="F1366" s="10">
        <v>40112</v>
      </c>
      <c r="G1366" s="11">
        <v>9910</v>
      </c>
      <c r="H1366" s="11">
        <v>9910</v>
      </c>
      <c r="I1366" s="4" t="s">
        <v>366</v>
      </c>
      <c r="J1366" s="4" t="s">
        <v>367</v>
      </c>
      <c r="K1366" s="11">
        <v>0</v>
      </c>
      <c r="L1366" s="4"/>
      <c r="M1366" s="4"/>
      <c r="N1366" s="11">
        <v>0</v>
      </c>
      <c r="O1366" s="4"/>
      <c r="P1366" s="4"/>
      <c r="Q1366" s="11">
        <v>0</v>
      </c>
      <c r="R1366" s="4"/>
      <c r="S1366" s="12"/>
    </row>
    <row r="1367" spans="1:19" x14ac:dyDescent="0.25">
      <c r="A1367" s="9" t="s">
        <v>485</v>
      </c>
      <c r="B1367" s="9" t="s">
        <v>485</v>
      </c>
      <c r="C1367" s="4">
        <v>201000330</v>
      </c>
      <c r="D1367" s="4" t="s">
        <v>2002</v>
      </c>
      <c r="E1367" s="4" t="str">
        <f>"006052010"</f>
        <v>006052010</v>
      </c>
      <c r="F1367" s="10">
        <v>40112</v>
      </c>
      <c r="G1367" s="11">
        <v>15000</v>
      </c>
      <c r="H1367" s="11">
        <v>15000</v>
      </c>
      <c r="I1367" s="4" t="s">
        <v>366</v>
      </c>
      <c r="J1367" s="4" t="s">
        <v>367</v>
      </c>
      <c r="K1367" s="11">
        <v>0</v>
      </c>
      <c r="L1367" s="4"/>
      <c r="M1367" s="4"/>
      <c r="N1367" s="11">
        <v>0</v>
      </c>
      <c r="O1367" s="4"/>
      <c r="P1367" s="4"/>
      <c r="Q1367" s="11">
        <v>0</v>
      </c>
      <c r="R1367" s="4"/>
      <c r="S1367" s="12"/>
    </row>
    <row r="1368" spans="1:19" x14ac:dyDescent="0.25">
      <c r="A1368" s="9" t="s">
        <v>485</v>
      </c>
      <c r="B1368" s="9" t="s">
        <v>485</v>
      </c>
      <c r="C1368" s="4">
        <v>201000337</v>
      </c>
      <c r="D1368" s="4"/>
      <c r="E1368" s="4" t="str">
        <f>"006352010"</f>
        <v>006352010</v>
      </c>
      <c r="F1368" s="10">
        <v>40112</v>
      </c>
      <c r="G1368" s="11">
        <v>3491.9</v>
      </c>
      <c r="H1368" s="11">
        <v>3491.9</v>
      </c>
      <c r="I1368" s="4" t="s">
        <v>366</v>
      </c>
      <c r="J1368" s="4" t="s">
        <v>367</v>
      </c>
      <c r="K1368" s="11">
        <v>0</v>
      </c>
      <c r="L1368" s="4"/>
      <c r="M1368" s="4"/>
      <c r="N1368" s="11">
        <v>0</v>
      </c>
      <c r="O1368" s="4"/>
      <c r="P1368" s="4"/>
      <c r="Q1368" s="11">
        <v>0</v>
      </c>
      <c r="R1368" s="4"/>
      <c r="S1368" s="12"/>
    </row>
    <row r="1369" spans="1:19" x14ac:dyDescent="0.25">
      <c r="A1369" s="9" t="s">
        <v>485</v>
      </c>
      <c r="B1369" s="9" t="s">
        <v>485</v>
      </c>
      <c r="C1369" s="4">
        <v>201000371</v>
      </c>
      <c r="D1369" s="4" t="s">
        <v>2003</v>
      </c>
      <c r="E1369" s="4" t="str">
        <f>"007052010"</f>
        <v>007052010</v>
      </c>
      <c r="F1369" s="10">
        <v>40115</v>
      </c>
      <c r="G1369" s="11">
        <v>7000</v>
      </c>
      <c r="H1369" s="11">
        <v>7000</v>
      </c>
      <c r="I1369" s="4" t="s">
        <v>366</v>
      </c>
      <c r="J1369" s="4" t="s">
        <v>367</v>
      </c>
      <c r="K1369" s="11">
        <v>0</v>
      </c>
      <c r="L1369" s="4"/>
      <c r="M1369" s="4"/>
      <c r="N1369" s="11">
        <v>0</v>
      </c>
      <c r="O1369" s="4"/>
      <c r="P1369" s="4"/>
      <c r="Q1369" s="11">
        <v>0</v>
      </c>
      <c r="R1369" s="4"/>
      <c r="S1369" s="12"/>
    </row>
    <row r="1370" spans="1:19" x14ac:dyDescent="0.25">
      <c r="A1370" s="9" t="s">
        <v>485</v>
      </c>
      <c r="B1370" s="9" t="s">
        <v>485</v>
      </c>
      <c r="C1370" s="4">
        <v>201000372</v>
      </c>
      <c r="D1370" s="4" t="s">
        <v>2004</v>
      </c>
      <c r="E1370" s="4" t="str">
        <f>"008812010"</f>
        <v>008812010</v>
      </c>
      <c r="F1370" s="10">
        <v>40121</v>
      </c>
      <c r="G1370" s="11">
        <v>175000</v>
      </c>
      <c r="H1370" s="11">
        <v>175000</v>
      </c>
      <c r="I1370" s="4" t="s">
        <v>687</v>
      </c>
      <c r="J1370" s="4" t="s">
        <v>688</v>
      </c>
      <c r="K1370" s="11">
        <v>0</v>
      </c>
      <c r="L1370" s="4"/>
      <c r="M1370" s="4"/>
      <c r="N1370" s="11">
        <v>0</v>
      </c>
      <c r="O1370" s="4"/>
      <c r="P1370" s="4"/>
      <c r="Q1370" s="11">
        <v>0</v>
      </c>
      <c r="R1370" s="4"/>
      <c r="S1370" s="12"/>
    </row>
    <row r="1371" spans="1:19" x14ac:dyDescent="0.25">
      <c r="A1371" s="9" t="s">
        <v>485</v>
      </c>
      <c r="B1371" s="9" t="s">
        <v>485</v>
      </c>
      <c r="C1371" s="4">
        <v>201000381</v>
      </c>
      <c r="D1371" s="4" t="s">
        <v>2005</v>
      </c>
      <c r="E1371" s="4" t="str">
        <f>"007132010"</f>
        <v>007132010</v>
      </c>
      <c r="F1371" s="10">
        <v>40115</v>
      </c>
      <c r="G1371" s="11">
        <v>2519.77</v>
      </c>
      <c r="H1371" s="11">
        <v>2519.77</v>
      </c>
      <c r="I1371" s="4" t="s">
        <v>366</v>
      </c>
      <c r="J1371" s="4" t="s">
        <v>367</v>
      </c>
      <c r="K1371" s="11">
        <v>0</v>
      </c>
      <c r="L1371" s="4"/>
      <c r="M1371" s="4"/>
      <c r="N1371" s="11">
        <v>0</v>
      </c>
      <c r="O1371" s="4"/>
      <c r="P1371" s="4"/>
      <c r="Q1371" s="11">
        <v>0</v>
      </c>
      <c r="R1371" s="4"/>
      <c r="S1371" s="12"/>
    </row>
    <row r="1372" spans="1:19" x14ac:dyDescent="0.25">
      <c r="A1372" s="9" t="s">
        <v>485</v>
      </c>
      <c r="B1372" s="9" t="s">
        <v>485</v>
      </c>
      <c r="C1372" s="4">
        <v>201000384</v>
      </c>
      <c r="D1372" s="4"/>
      <c r="E1372" s="4" t="str">
        <f>"007212010"</f>
        <v>007212010</v>
      </c>
      <c r="F1372" s="10">
        <v>40115</v>
      </c>
      <c r="G1372" s="11">
        <v>3315</v>
      </c>
      <c r="H1372" s="11">
        <v>3315</v>
      </c>
      <c r="I1372" s="4" t="s">
        <v>366</v>
      </c>
      <c r="J1372" s="4" t="s">
        <v>367</v>
      </c>
      <c r="K1372" s="11">
        <v>0</v>
      </c>
      <c r="L1372" s="4"/>
      <c r="M1372" s="4"/>
      <c r="N1372" s="11">
        <v>0</v>
      </c>
      <c r="O1372" s="4"/>
      <c r="P1372" s="4"/>
      <c r="Q1372" s="11">
        <v>0</v>
      </c>
      <c r="R1372" s="4"/>
      <c r="S1372" s="12"/>
    </row>
    <row r="1373" spans="1:19" x14ac:dyDescent="0.25">
      <c r="A1373" s="9" t="s">
        <v>485</v>
      </c>
      <c r="B1373" s="9" t="s">
        <v>485</v>
      </c>
      <c r="C1373" s="4">
        <v>201000399</v>
      </c>
      <c r="D1373" s="4"/>
      <c r="E1373" s="4" t="str">
        <f>"007432010"</f>
        <v>007432010</v>
      </c>
      <c r="F1373" s="10">
        <v>40119</v>
      </c>
      <c r="G1373" s="11">
        <v>8100</v>
      </c>
      <c r="H1373" s="11">
        <v>8100</v>
      </c>
      <c r="I1373" s="4" t="s">
        <v>366</v>
      </c>
      <c r="J1373" s="4" t="s">
        <v>367</v>
      </c>
      <c r="K1373" s="11">
        <v>0</v>
      </c>
      <c r="L1373" s="4"/>
      <c r="M1373" s="4"/>
      <c r="N1373" s="11">
        <v>0</v>
      </c>
      <c r="O1373" s="4"/>
      <c r="P1373" s="4"/>
      <c r="Q1373" s="11">
        <v>0</v>
      </c>
      <c r="R1373" s="4"/>
      <c r="S1373" s="12"/>
    </row>
    <row r="1374" spans="1:19" x14ac:dyDescent="0.25">
      <c r="A1374" s="9" t="s">
        <v>485</v>
      </c>
      <c r="B1374" s="9" t="s">
        <v>485</v>
      </c>
      <c r="C1374" s="4">
        <v>201000405</v>
      </c>
      <c r="D1374" s="4"/>
      <c r="E1374" s="4" t="str">
        <f>"007572010"</f>
        <v>007572010</v>
      </c>
      <c r="F1374" s="10">
        <v>40119</v>
      </c>
      <c r="G1374" s="11">
        <v>3382.5</v>
      </c>
      <c r="H1374" s="11">
        <v>3382.5</v>
      </c>
      <c r="I1374" s="4" t="s">
        <v>366</v>
      </c>
      <c r="J1374" s="4" t="s">
        <v>367</v>
      </c>
      <c r="K1374" s="11">
        <v>0</v>
      </c>
      <c r="L1374" s="4"/>
      <c r="M1374" s="4"/>
      <c r="N1374" s="11">
        <v>0</v>
      </c>
      <c r="O1374" s="4"/>
      <c r="P1374" s="4"/>
      <c r="Q1374" s="11">
        <v>0</v>
      </c>
      <c r="R1374" s="4"/>
      <c r="S1374" s="12"/>
    </row>
    <row r="1375" spans="1:19" x14ac:dyDescent="0.25">
      <c r="A1375" s="9" t="s">
        <v>485</v>
      </c>
      <c r="B1375" s="9" t="s">
        <v>485</v>
      </c>
      <c r="C1375" s="4">
        <v>201000420</v>
      </c>
      <c r="D1375" s="4"/>
      <c r="E1375" s="4" t="str">
        <f>"007652010"</f>
        <v>007652010</v>
      </c>
      <c r="F1375" s="10">
        <v>40119</v>
      </c>
      <c r="G1375" s="11">
        <v>3011.25</v>
      </c>
      <c r="H1375" s="11">
        <v>3011.25</v>
      </c>
      <c r="I1375" s="4" t="s">
        <v>366</v>
      </c>
      <c r="J1375" s="4" t="s">
        <v>367</v>
      </c>
      <c r="K1375" s="11">
        <v>0</v>
      </c>
      <c r="L1375" s="4"/>
      <c r="M1375" s="4"/>
      <c r="N1375" s="11">
        <v>0</v>
      </c>
      <c r="O1375" s="4"/>
      <c r="P1375" s="4"/>
      <c r="Q1375" s="11">
        <v>0</v>
      </c>
      <c r="R1375" s="4"/>
      <c r="S1375" s="12"/>
    </row>
    <row r="1376" spans="1:19" x14ac:dyDescent="0.25">
      <c r="A1376" s="9" t="s">
        <v>485</v>
      </c>
      <c r="B1376" s="9" t="s">
        <v>485</v>
      </c>
      <c r="C1376" s="4">
        <v>201000425</v>
      </c>
      <c r="D1376" s="4"/>
      <c r="E1376" s="4" t="str">
        <f>"007712010"</f>
        <v>007712010</v>
      </c>
      <c r="F1376" s="10">
        <v>40119</v>
      </c>
      <c r="G1376" s="11">
        <v>2739.03</v>
      </c>
      <c r="H1376" s="11">
        <v>2739.03</v>
      </c>
      <c r="I1376" s="4" t="s">
        <v>366</v>
      </c>
      <c r="J1376" s="4" t="s">
        <v>367</v>
      </c>
      <c r="K1376" s="11">
        <v>0</v>
      </c>
      <c r="L1376" s="4"/>
      <c r="M1376" s="4"/>
      <c r="N1376" s="11">
        <v>0</v>
      </c>
      <c r="O1376" s="4"/>
      <c r="P1376" s="4"/>
      <c r="Q1376" s="11">
        <v>0</v>
      </c>
      <c r="R1376" s="4"/>
      <c r="S1376" s="12"/>
    </row>
    <row r="1377" spans="1:19" x14ac:dyDescent="0.25">
      <c r="A1377" s="9" t="s">
        <v>485</v>
      </c>
      <c r="B1377" s="9" t="s">
        <v>485</v>
      </c>
      <c r="C1377" s="4">
        <v>201000448</v>
      </c>
      <c r="D1377" s="4"/>
      <c r="E1377" s="4" t="str">
        <f>"008132010"</f>
        <v>008132010</v>
      </c>
      <c r="F1377" s="10">
        <v>40120</v>
      </c>
      <c r="G1377" s="11">
        <v>3684.46</v>
      </c>
      <c r="H1377" s="11">
        <v>3684.46</v>
      </c>
      <c r="I1377" s="4" t="s">
        <v>366</v>
      </c>
      <c r="J1377" s="4" t="s">
        <v>367</v>
      </c>
      <c r="K1377" s="11">
        <v>0</v>
      </c>
      <c r="L1377" s="4"/>
      <c r="M1377" s="4"/>
      <c r="N1377" s="11">
        <v>0</v>
      </c>
      <c r="O1377" s="4"/>
      <c r="P1377" s="4"/>
      <c r="Q1377" s="11">
        <v>0</v>
      </c>
      <c r="R1377" s="4"/>
      <c r="S1377" s="12"/>
    </row>
    <row r="1378" spans="1:19" x14ac:dyDescent="0.25">
      <c r="A1378" s="9" t="s">
        <v>485</v>
      </c>
      <c r="B1378" s="9" t="s">
        <v>485</v>
      </c>
      <c r="C1378" s="4">
        <v>201000453</v>
      </c>
      <c r="D1378" s="4"/>
      <c r="E1378" s="4" t="str">
        <f>"008232010"</f>
        <v>008232010</v>
      </c>
      <c r="F1378" s="10">
        <v>40119</v>
      </c>
      <c r="G1378" s="11">
        <v>2648.12</v>
      </c>
      <c r="H1378" s="11">
        <v>2648.12</v>
      </c>
      <c r="I1378" s="4" t="s">
        <v>366</v>
      </c>
      <c r="J1378" s="4" t="s">
        <v>367</v>
      </c>
      <c r="K1378" s="11">
        <v>0</v>
      </c>
      <c r="L1378" s="4"/>
      <c r="M1378" s="4"/>
      <c r="N1378" s="11">
        <v>0</v>
      </c>
      <c r="O1378" s="4"/>
      <c r="P1378" s="4"/>
      <c r="Q1378" s="11">
        <v>0</v>
      </c>
      <c r="R1378" s="4"/>
      <c r="S1378" s="12"/>
    </row>
    <row r="1379" spans="1:19" x14ac:dyDescent="0.25">
      <c r="A1379" s="9" t="s">
        <v>485</v>
      </c>
      <c r="B1379" s="9" t="s">
        <v>485</v>
      </c>
      <c r="C1379" s="4">
        <v>201000461</v>
      </c>
      <c r="D1379" s="4"/>
      <c r="E1379" s="4" t="str">
        <f>"008432010"</f>
        <v>008432010</v>
      </c>
      <c r="F1379" s="10">
        <v>40120</v>
      </c>
      <c r="G1379" s="11">
        <v>2685.1</v>
      </c>
      <c r="H1379" s="11">
        <v>2685.1</v>
      </c>
      <c r="I1379" s="4" t="s">
        <v>366</v>
      </c>
      <c r="J1379" s="4" t="s">
        <v>367</v>
      </c>
      <c r="K1379" s="11">
        <v>0</v>
      </c>
      <c r="L1379" s="4"/>
      <c r="M1379" s="4"/>
      <c r="N1379" s="11">
        <v>0</v>
      </c>
      <c r="O1379" s="4"/>
      <c r="P1379" s="4"/>
      <c r="Q1379" s="11">
        <v>0</v>
      </c>
      <c r="R1379" s="4"/>
      <c r="S1379" s="12"/>
    </row>
    <row r="1380" spans="1:19" x14ac:dyDescent="0.25">
      <c r="A1380" s="9" t="s">
        <v>485</v>
      </c>
      <c r="B1380" s="9" t="s">
        <v>485</v>
      </c>
      <c r="C1380" s="4">
        <v>201000470</v>
      </c>
      <c r="D1380" s="4"/>
      <c r="E1380" s="4" t="str">
        <f>"008552010"</f>
        <v>008552010</v>
      </c>
      <c r="F1380" s="10">
        <v>40120</v>
      </c>
      <c r="G1380" s="11">
        <v>2631.87</v>
      </c>
      <c r="H1380" s="11">
        <v>2631.87</v>
      </c>
      <c r="I1380" s="4" t="s">
        <v>366</v>
      </c>
      <c r="J1380" s="4" t="s">
        <v>367</v>
      </c>
      <c r="K1380" s="11">
        <v>0</v>
      </c>
      <c r="L1380" s="4"/>
      <c r="M1380" s="4"/>
      <c r="N1380" s="11">
        <v>0</v>
      </c>
      <c r="O1380" s="4"/>
      <c r="P1380" s="4"/>
      <c r="Q1380" s="11">
        <v>0</v>
      </c>
      <c r="R1380" s="4"/>
      <c r="S1380" s="12"/>
    </row>
    <row r="1381" spans="1:19" x14ac:dyDescent="0.25">
      <c r="A1381" s="9" t="s">
        <v>485</v>
      </c>
      <c r="B1381" s="9" t="s">
        <v>485</v>
      </c>
      <c r="C1381" s="4">
        <v>201000476</v>
      </c>
      <c r="D1381" s="4" t="s">
        <v>2006</v>
      </c>
      <c r="E1381" s="4" t="str">
        <f>"009192010"</f>
        <v>009192010</v>
      </c>
      <c r="F1381" s="10">
        <v>40123</v>
      </c>
      <c r="G1381" s="11">
        <v>4632.33</v>
      </c>
      <c r="H1381" s="11">
        <v>4632.33</v>
      </c>
      <c r="I1381" s="4" t="s">
        <v>366</v>
      </c>
      <c r="J1381" s="4" t="s">
        <v>367</v>
      </c>
      <c r="K1381" s="11">
        <v>0</v>
      </c>
      <c r="L1381" s="4"/>
      <c r="M1381" s="4"/>
      <c r="N1381" s="11">
        <v>0</v>
      </c>
      <c r="O1381" s="4"/>
      <c r="P1381" s="4"/>
      <c r="Q1381" s="11">
        <v>0</v>
      </c>
      <c r="R1381" s="4"/>
      <c r="S1381" s="12"/>
    </row>
    <row r="1382" spans="1:19" x14ac:dyDescent="0.25">
      <c r="A1382" s="9" t="s">
        <v>485</v>
      </c>
      <c r="B1382" s="9" t="s">
        <v>485</v>
      </c>
      <c r="C1382" s="4">
        <v>201000482</v>
      </c>
      <c r="D1382" s="4" t="s">
        <v>2007</v>
      </c>
      <c r="E1382" s="4" t="str">
        <f>"009792010"</f>
        <v>009792010</v>
      </c>
      <c r="F1382" s="10">
        <v>40123</v>
      </c>
      <c r="G1382" s="11">
        <v>10000</v>
      </c>
      <c r="H1382" s="11">
        <v>10000</v>
      </c>
      <c r="I1382" s="4" t="s">
        <v>366</v>
      </c>
      <c r="J1382" s="4" t="s">
        <v>367</v>
      </c>
      <c r="K1382" s="11">
        <v>0</v>
      </c>
      <c r="L1382" s="4"/>
      <c r="M1382" s="4"/>
      <c r="N1382" s="11">
        <v>0</v>
      </c>
      <c r="O1382" s="4"/>
      <c r="P1382" s="4"/>
      <c r="Q1382" s="11">
        <v>0</v>
      </c>
      <c r="R1382" s="4"/>
      <c r="S1382" s="12"/>
    </row>
    <row r="1383" spans="1:19" x14ac:dyDescent="0.25">
      <c r="A1383" s="9" t="s">
        <v>485</v>
      </c>
      <c r="B1383" s="9" t="s">
        <v>485</v>
      </c>
      <c r="C1383" s="4">
        <v>201000484</v>
      </c>
      <c r="D1383" s="4" t="s">
        <v>2534</v>
      </c>
      <c r="E1383" s="4" t="str">
        <f>"008632010"</f>
        <v>008632010</v>
      </c>
      <c r="F1383" s="10">
        <v>40120</v>
      </c>
      <c r="G1383" s="11">
        <v>13000</v>
      </c>
      <c r="H1383" s="11">
        <v>10400</v>
      </c>
      <c r="I1383" s="4" t="s">
        <v>366</v>
      </c>
      <c r="J1383" s="4" t="s">
        <v>367</v>
      </c>
      <c r="K1383" s="11">
        <v>2600</v>
      </c>
      <c r="L1383" s="4" t="s">
        <v>366</v>
      </c>
      <c r="M1383" s="4" t="s">
        <v>367</v>
      </c>
      <c r="N1383" s="11">
        <v>0</v>
      </c>
      <c r="O1383" s="4"/>
      <c r="P1383" s="4"/>
      <c r="Q1383" s="11">
        <v>0</v>
      </c>
      <c r="R1383" s="4"/>
      <c r="S1383" s="12"/>
    </row>
    <row r="1384" spans="1:19" x14ac:dyDescent="0.25">
      <c r="A1384" s="9" t="s">
        <v>485</v>
      </c>
      <c r="B1384" s="9" t="s">
        <v>485</v>
      </c>
      <c r="C1384" s="4">
        <v>201000486</v>
      </c>
      <c r="D1384" s="4"/>
      <c r="E1384" s="4" t="str">
        <f>"008592010"</f>
        <v>008592010</v>
      </c>
      <c r="F1384" s="10">
        <v>40120</v>
      </c>
      <c r="G1384" s="11">
        <v>5199.04</v>
      </c>
      <c r="H1384" s="11">
        <v>5199.04</v>
      </c>
      <c r="I1384" s="4" t="s">
        <v>366</v>
      </c>
      <c r="J1384" s="4" t="s">
        <v>367</v>
      </c>
      <c r="K1384" s="11">
        <v>0</v>
      </c>
      <c r="L1384" s="4"/>
      <c r="M1384" s="4"/>
      <c r="N1384" s="11">
        <v>0</v>
      </c>
      <c r="O1384" s="4"/>
      <c r="P1384" s="4"/>
      <c r="Q1384" s="11">
        <v>0</v>
      </c>
      <c r="R1384" s="4"/>
      <c r="S1384" s="12"/>
    </row>
    <row r="1385" spans="1:19" x14ac:dyDescent="0.25">
      <c r="A1385" s="9" t="s">
        <v>485</v>
      </c>
      <c r="B1385" s="9" t="s">
        <v>485</v>
      </c>
      <c r="C1385" s="4">
        <v>201000493</v>
      </c>
      <c r="D1385" s="4"/>
      <c r="E1385" s="4" t="str">
        <f>"010892010"</f>
        <v>010892010</v>
      </c>
      <c r="F1385" s="10">
        <v>40133</v>
      </c>
      <c r="G1385" s="11">
        <v>3962.08</v>
      </c>
      <c r="H1385" s="11">
        <v>3962.08</v>
      </c>
      <c r="I1385" s="4" t="s">
        <v>1980</v>
      </c>
      <c r="J1385" s="4" t="s">
        <v>1981</v>
      </c>
      <c r="K1385" s="11">
        <v>0</v>
      </c>
      <c r="L1385" s="4"/>
      <c r="M1385" s="4"/>
      <c r="N1385" s="11">
        <v>0</v>
      </c>
      <c r="O1385" s="4"/>
      <c r="P1385" s="4"/>
      <c r="Q1385" s="11">
        <v>0</v>
      </c>
      <c r="R1385" s="4"/>
      <c r="S1385" s="12"/>
    </row>
    <row r="1386" spans="1:19" x14ac:dyDescent="0.25">
      <c r="A1386" s="9" t="s">
        <v>485</v>
      </c>
      <c r="B1386" s="9" t="s">
        <v>485</v>
      </c>
      <c r="C1386" s="4">
        <v>201000505</v>
      </c>
      <c r="D1386" s="4" t="s">
        <v>2534</v>
      </c>
      <c r="E1386" s="4" t="str">
        <f>"009112010"</f>
        <v>009112010</v>
      </c>
      <c r="F1386" s="10">
        <v>40123</v>
      </c>
      <c r="G1386" s="11">
        <v>6717.75</v>
      </c>
      <c r="H1386" s="11">
        <v>5374.2</v>
      </c>
      <c r="I1386" s="4" t="s">
        <v>366</v>
      </c>
      <c r="J1386" s="4" t="s">
        <v>367</v>
      </c>
      <c r="K1386" s="11">
        <v>1343.55</v>
      </c>
      <c r="L1386" s="4" t="s">
        <v>366</v>
      </c>
      <c r="M1386" s="4" t="s">
        <v>367</v>
      </c>
      <c r="N1386" s="11">
        <v>0</v>
      </c>
      <c r="O1386" s="4"/>
      <c r="P1386" s="4"/>
      <c r="Q1386" s="11">
        <v>0</v>
      </c>
      <c r="R1386" s="4"/>
      <c r="S1386" s="12"/>
    </row>
    <row r="1387" spans="1:19" x14ac:dyDescent="0.25">
      <c r="A1387" s="9" t="s">
        <v>485</v>
      </c>
      <c r="B1387" s="9" t="s">
        <v>485</v>
      </c>
      <c r="C1387" s="4">
        <v>201000510</v>
      </c>
      <c r="D1387" s="4"/>
      <c r="E1387" s="4" t="str">
        <f>"009612010"</f>
        <v>009612010</v>
      </c>
      <c r="F1387" s="10">
        <v>40123</v>
      </c>
      <c r="G1387" s="11">
        <v>4312.04</v>
      </c>
      <c r="H1387" s="11">
        <v>4312.04</v>
      </c>
      <c r="I1387" s="4" t="s">
        <v>366</v>
      </c>
      <c r="J1387" s="4" t="s">
        <v>367</v>
      </c>
      <c r="K1387" s="11">
        <v>0</v>
      </c>
      <c r="L1387" s="4"/>
      <c r="M1387" s="4"/>
      <c r="N1387" s="11">
        <v>0</v>
      </c>
      <c r="O1387" s="4"/>
      <c r="P1387" s="4"/>
      <c r="Q1387" s="11">
        <v>0</v>
      </c>
      <c r="R1387" s="4"/>
      <c r="S1387" s="12"/>
    </row>
    <row r="1388" spans="1:19" x14ac:dyDescent="0.25">
      <c r="A1388" s="9" t="s">
        <v>485</v>
      </c>
      <c r="B1388" s="9" t="s">
        <v>485</v>
      </c>
      <c r="C1388" s="4">
        <v>201000525</v>
      </c>
      <c r="D1388" s="4" t="s">
        <v>2008</v>
      </c>
      <c r="E1388" s="4" t="str">
        <f>"009992010"</f>
        <v>009992010</v>
      </c>
      <c r="F1388" s="10">
        <v>40123</v>
      </c>
      <c r="G1388" s="11">
        <v>3716.9</v>
      </c>
      <c r="H1388" s="11">
        <v>3716.9</v>
      </c>
      <c r="I1388" s="4" t="s">
        <v>366</v>
      </c>
      <c r="J1388" s="4" t="s">
        <v>367</v>
      </c>
      <c r="K1388" s="11">
        <v>0</v>
      </c>
      <c r="L1388" s="4"/>
      <c r="M1388" s="4"/>
      <c r="N1388" s="11">
        <v>0</v>
      </c>
      <c r="O1388" s="4"/>
      <c r="P1388" s="4"/>
      <c r="Q1388" s="11">
        <v>0</v>
      </c>
      <c r="R1388" s="4"/>
      <c r="S1388" s="12"/>
    </row>
    <row r="1389" spans="1:19" x14ac:dyDescent="0.25">
      <c r="A1389" s="9" t="s">
        <v>485</v>
      </c>
      <c r="B1389" s="9" t="s">
        <v>485</v>
      </c>
      <c r="C1389" s="4">
        <v>201000535</v>
      </c>
      <c r="D1389" s="4"/>
      <c r="E1389" s="4" t="str">
        <f>"009752010"</f>
        <v>009752010</v>
      </c>
      <c r="F1389" s="10">
        <v>40123</v>
      </c>
      <c r="G1389" s="11">
        <v>5149.6000000000004</v>
      </c>
      <c r="H1389" s="11">
        <v>5149.6000000000004</v>
      </c>
      <c r="I1389" s="4" t="s">
        <v>366</v>
      </c>
      <c r="J1389" s="4" t="s">
        <v>367</v>
      </c>
      <c r="K1389" s="11">
        <v>0</v>
      </c>
      <c r="L1389" s="4"/>
      <c r="M1389" s="4"/>
      <c r="N1389" s="11">
        <v>0</v>
      </c>
      <c r="O1389" s="4"/>
      <c r="P1389" s="4"/>
      <c r="Q1389" s="11">
        <v>0</v>
      </c>
      <c r="R1389" s="4"/>
      <c r="S1389" s="12"/>
    </row>
    <row r="1390" spans="1:19" x14ac:dyDescent="0.25">
      <c r="A1390" s="9" t="s">
        <v>485</v>
      </c>
      <c r="B1390" s="9" t="s">
        <v>485</v>
      </c>
      <c r="C1390" s="4">
        <v>201000536</v>
      </c>
      <c r="D1390" s="4" t="s">
        <v>2009</v>
      </c>
      <c r="E1390" s="4" t="str">
        <f>"009832010"</f>
        <v>009832010</v>
      </c>
      <c r="F1390" s="10">
        <v>40123</v>
      </c>
      <c r="G1390" s="11">
        <v>8000</v>
      </c>
      <c r="H1390" s="11">
        <v>8000</v>
      </c>
      <c r="I1390" s="4" t="s">
        <v>366</v>
      </c>
      <c r="J1390" s="4" t="s">
        <v>367</v>
      </c>
      <c r="K1390" s="11">
        <v>0</v>
      </c>
      <c r="L1390" s="4"/>
      <c r="M1390" s="4"/>
      <c r="N1390" s="11">
        <v>0</v>
      </c>
      <c r="O1390" s="4"/>
      <c r="P1390" s="4"/>
      <c r="Q1390" s="11">
        <v>0</v>
      </c>
      <c r="R1390" s="4"/>
      <c r="S1390" s="12"/>
    </row>
    <row r="1391" spans="1:19" x14ac:dyDescent="0.25">
      <c r="A1391" s="9" t="s">
        <v>485</v>
      </c>
      <c r="B1391" s="9" t="s">
        <v>485</v>
      </c>
      <c r="C1391" s="4">
        <v>201000567</v>
      </c>
      <c r="D1391" s="4"/>
      <c r="E1391" s="4" t="str">
        <f>"010952010"</f>
        <v>010952010</v>
      </c>
      <c r="F1391" s="10">
        <v>40129</v>
      </c>
      <c r="G1391" s="11">
        <v>5041.6400000000003</v>
      </c>
      <c r="H1391" s="11">
        <v>5041.6400000000003</v>
      </c>
      <c r="I1391" s="4" t="s">
        <v>366</v>
      </c>
      <c r="J1391" s="4" t="s">
        <v>367</v>
      </c>
      <c r="K1391" s="11">
        <v>0</v>
      </c>
      <c r="L1391" s="4"/>
      <c r="M1391" s="4"/>
      <c r="N1391" s="11">
        <v>0</v>
      </c>
      <c r="O1391" s="4"/>
      <c r="P1391" s="4"/>
      <c r="Q1391" s="11">
        <v>0</v>
      </c>
      <c r="R1391" s="4"/>
      <c r="S1391" s="12"/>
    </row>
    <row r="1392" spans="1:19" x14ac:dyDescent="0.25">
      <c r="A1392" s="9" t="s">
        <v>485</v>
      </c>
      <c r="B1392" s="9" t="s">
        <v>485</v>
      </c>
      <c r="C1392" s="4">
        <v>201000576</v>
      </c>
      <c r="D1392" s="4"/>
      <c r="E1392" s="4" t="str">
        <f>"011452010"</f>
        <v>011452010</v>
      </c>
      <c r="F1392" s="10">
        <v>40133</v>
      </c>
      <c r="G1392" s="11">
        <v>3912</v>
      </c>
      <c r="H1392" s="11">
        <v>3912</v>
      </c>
      <c r="I1392" s="4" t="s">
        <v>366</v>
      </c>
      <c r="J1392" s="4" t="s">
        <v>367</v>
      </c>
      <c r="K1392" s="11">
        <v>0</v>
      </c>
      <c r="L1392" s="4"/>
      <c r="M1392" s="4"/>
      <c r="N1392" s="11">
        <v>0</v>
      </c>
      <c r="O1392" s="4"/>
      <c r="P1392" s="4"/>
      <c r="Q1392" s="11">
        <v>0</v>
      </c>
      <c r="R1392" s="4"/>
      <c r="S1392" s="12"/>
    </row>
    <row r="1393" spans="1:19" x14ac:dyDescent="0.25">
      <c r="A1393" s="9" t="s">
        <v>485</v>
      </c>
      <c r="B1393" s="9" t="s">
        <v>485</v>
      </c>
      <c r="C1393" s="4">
        <v>201000593</v>
      </c>
      <c r="D1393" s="4"/>
      <c r="E1393" s="4" t="str">
        <f>"010812010"</f>
        <v>010812010</v>
      </c>
      <c r="F1393" s="10">
        <v>40126</v>
      </c>
      <c r="G1393" s="11">
        <v>5644.22</v>
      </c>
      <c r="H1393" s="11">
        <v>5644.22</v>
      </c>
      <c r="I1393" s="4" t="s">
        <v>366</v>
      </c>
      <c r="J1393" s="4" t="s">
        <v>367</v>
      </c>
      <c r="K1393" s="11">
        <v>0</v>
      </c>
      <c r="L1393" s="4"/>
      <c r="M1393" s="4"/>
      <c r="N1393" s="11">
        <v>0</v>
      </c>
      <c r="O1393" s="4"/>
      <c r="P1393" s="4"/>
      <c r="Q1393" s="11">
        <v>0</v>
      </c>
      <c r="R1393" s="4"/>
      <c r="S1393" s="12"/>
    </row>
    <row r="1394" spans="1:19" x14ac:dyDescent="0.25">
      <c r="A1394" s="9" t="s">
        <v>485</v>
      </c>
      <c r="B1394" s="9" t="s">
        <v>485</v>
      </c>
      <c r="C1394" s="4">
        <v>201000594</v>
      </c>
      <c r="D1394" s="4" t="s">
        <v>2010</v>
      </c>
      <c r="E1394" s="4" t="str">
        <f>"011992010"</f>
        <v>011992010</v>
      </c>
      <c r="F1394" s="10">
        <v>40133</v>
      </c>
      <c r="G1394" s="11">
        <v>25000</v>
      </c>
      <c r="H1394" s="11">
        <v>25000</v>
      </c>
      <c r="I1394" s="4" t="s">
        <v>687</v>
      </c>
      <c r="J1394" s="4" t="s">
        <v>688</v>
      </c>
      <c r="K1394" s="11">
        <v>0</v>
      </c>
      <c r="L1394" s="4"/>
      <c r="M1394" s="4"/>
      <c r="N1394" s="11">
        <v>0</v>
      </c>
      <c r="O1394" s="4"/>
      <c r="P1394" s="4"/>
      <c r="Q1394" s="11">
        <v>0</v>
      </c>
      <c r="R1394" s="4"/>
      <c r="S1394" s="12"/>
    </row>
    <row r="1395" spans="1:19" x14ac:dyDescent="0.25">
      <c r="A1395" s="9" t="s">
        <v>485</v>
      </c>
      <c r="B1395" s="9" t="s">
        <v>485</v>
      </c>
      <c r="C1395" s="4">
        <v>201000606</v>
      </c>
      <c r="D1395" s="4"/>
      <c r="E1395" s="4" t="str">
        <f>"011152010"</f>
        <v>011152010</v>
      </c>
      <c r="F1395" s="10">
        <v>40129</v>
      </c>
      <c r="G1395" s="11">
        <v>2815</v>
      </c>
      <c r="H1395" s="11">
        <v>2815</v>
      </c>
      <c r="I1395" s="4" t="s">
        <v>366</v>
      </c>
      <c r="J1395" s="4" t="s">
        <v>367</v>
      </c>
      <c r="K1395" s="11">
        <v>0</v>
      </c>
      <c r="L1395" s="4"/>
      <c r="M1395" s="4"/>
      <c r="N1395" s="11">
        <v>0</v>
      </c>
      <c r="O1395" s="4"/>
      <c r="P1395" s="4"/>
      <c r="Q1395" s="11">
        <v>0</v>
      </c>
      <c r="R1395" s="4"/>
      <c r="S1395" s="12"/>
    </row>
    <row r="1396" spans="1:19" x14ac:dyDescent="0.25">
      <c r="A1396" s="9" t="s">
        <v>485</v>
      </c>
      <c r="B1396" s="9" t="s">
        <v>485</v>
      </c>
      <c r="C1396" s="4">
        <v>201000607</v>
      </c>
      <c r="D1396" s="4" t="s">
        <v>2011</v>
      </c>
      <c r="E1396" s="4" t="str">
        <f>"012692010"</f>
        <v>012692010</v>
      </c>
      <c r="F1396" s="10">
        <v>40134</v>
      </c>
      <c r="G1396" s="11">
        <v>150000</v>
      </c>
      <c r="H1396" s="11">
        <v>150000</v>
      </c>
      <c r="I1396" s="4" t="s">
        <v>687</v>
      </c>
      <c r="J1396" s="4" t="s">
        <v>688</v>
      </c>
      <c r="K1396" s="11">
        <v>0</v>
      </c>
      <c r="L1396" s="4"/>
      <c r="M1396" s="4"/>
      <c r="N1396" s="11">
        <v>0</v>
      </c>
      <c r="O1396" s="4"/>
      <c r="P1396" s="4"/>
      <c r="Q1396" s="11">
        <v>0</v>
      </c>
      <c r="R1396" s="4"/>
      <c r="S1396" s="12"/>
    </row>
    <row r="1397" spans="1:19" x14ac:dyDescent="0.25">
      <c r="A1397" s="9" t="s">
        <v>485</v>
      </c>
      <c r="B1397" s="9" t="s">
        <v>485</v>
      </c>
      <c r="C1397" s="4">
        <v>201000611</v>
      </c>
      <c r="D1397" s="4"/>
      <c r="E1397" s="4" t="str">
        <f>"011912010"</f>
        <v>011912010</v>
      </c>
      <c r="F1397" s="10">
        <v>40133</v>
      </c>
      <c r="G1397" s="11">
        <v>80000</v>
      </c>
      <c r="H1397" s="11">
        <v>80000</v>
      </c>
      <c r="I1397" s="4" t="s">
        <v>687</v>
      </c>
      <c r="J1397" s="4" t="s">
        <v>688</v>
      </c>
      <c r="K1397" s="11">
        <v>0</v>
      </c>
      <c r="L1397" s="4"/>
      <c r="M1397" s="4"/>
      <c r="N1397" s="11">
        <v>0</v>
      </c>
      <c r="O1397" s="4"/>
      <c r="P1397" s="4"/>
      <c r="Q1397" s="11">
        <v>0</v>
      </c>
      <c r="R1397" s="4"/>
      <c r="S1397" s="12"/>
    </row>
    <row r="1398" spans="1:19" x14ac:dyDescent="0.25">
      <c r="A1398" s="9" t="s">
        <v>485</v>
      </c>
      <c r="B1398" s="9" t="s">
        <v>485</v>
      </c>
      <c r="C1398" s="4">
        <v>201000621</v>
      </c>
      <c r="D1398" s="4"/>
      <c r="E1398" s="4" t="str">
        <f>"012352010"</f>
        <v>012352010</v>
      </c>
      <c r="F1398" s="10">
        <v>40134</v>
      </c>
      <c r="G1398" s="11">
        <v>3267.42</v>
      </c>
      <c r="H1398" s="11">
        <v>3267.42</v>
      </c>
      <c r="I1398" s="4" t="s">
        <v>366</v>
      </c>
      <c r="J1398" s="4" t="s">
        <v>367</v>
      </c>
      <c r="K1398" s="11">
        <v>0</v>
      </c>
      <c r="L1398" s="4"/>
      <c r="M1398" s="4"/>
      <c r="N1398" s="11">
        <v>0</v>
      </c>
      <c r="O1398" s="4"/>
      <c r="P1398" s="4"/>
      <c r="Q1398" s="11">
        <v>0</v>
      </c>
      <c r="R1398" s="4"/>
      <c r="S1398" s="12"/>
    </row>
    <row r="1399" spans="1:19" x14ac:dyDescent="0.25">
      <c r="A1399" s="9" t="s">
        <v>485</v>
      </c>
      <c r="B1399" s="9" t="s">
        <v>485</v>
      </c>
      <c r="C1399" s="4">
        <v>201000649</v>
      </c>
      <c r="D1399" s="4"/>
      <c r="E1399" s="4" t="str">
        <f>"012152010"</f>
        <v>012152010</v>
      </c>
      <c r="F1399" s="10">
        <v>40133</v>
      </c>
      <c r="G1399" s="11">
        <v>2717.46</v>
      </c>
      <c r="H1399" s="11">
        <v>2717.46</v>
      </c>
      <c r="I1399" s="4" t="s">
        <v>366</v>
      </c>
      <c r="J1399" s="4" t="s">
        <v>367</v>
      </c>
      <c r="K1399" s="11">
        <v>0</v>
      </c>
      <c r="L1399" s="4"/>
      <c r="M1399" s="4"/>
      <c r="N1399" s="11">
        <v>0</v>
      </c>
      <c r="O1399" s="4"/>
      <c r="P1399" s="4"/>
      <c r="Q1399" s="11">
        <v>0</v>
      </c>
      <c r="R1399" s="4"/>
      <c r="S1399" s="12"/>
    </row>
    <row r="1400" spans="1:19" x14ac:dyDescent="0.25">
      <c r="A1400" s="9" t="s">
        <v>485</v>
      </c>
      <c r="B1400" s="9" t="s">
        <v>485</v>
      </c>
      <c r="C1400" s="4">
        <v>201000654</v>
      </c>
      <c r="D1400" s="4"/>
      <c r="E1400" s="4" t="str">
        <f>"012252010"</f>
        <v>012252010</v>
      </c>
      <c r="F1400" s="10">
        <v>40133</v>
      </c>
      <c r="G1400" s="11">
        <v>1200</v>
      </c>
      <c r="H1400" s="11">
        <v>1200</v>
      </c>
      <c r="I1400" s="4" t="s">
        <v>366</v>
      </c>
      <c r="J1400" s="4" t="s">
        <v>367</v>
      </c>
      <c r="K1400" s="11">
        <v>0</v>
      </c>
      <c r="L1400" s="4"/>
      <c r="M1400" s="4"/>
      <c r="N1400" s="11">
        <v>0</v>
      </c>
      <c r="O1400" s="4"/>
      <c r="P1400" s="4"/>
      <c r="Q1400" s="11">
        <v>0</v>
      </c>
      <c r="R1400" s="4"/>
      <c r="S1400" s="12"/>
    </row>
    <row r="1401" spans="1:19" x14ac:dyDescent="0.25">
      <c r="A1401" s="9" t="s">
        <v>485</v>
      </c>
      <c r="B1401" s="9" t="s">
        <v>485</v>
      </c>
      <c r="C1401" s="4">
        <v>201000654</v>
      </c>
      <c r="D1401" s="4"/>
      <c r="E1401" s="4" t="str">
        <f>"012272010"</f>
        <v>012272010</v>
      </c>
      <c r="F1401" s="10">
        <v>40134</v>
      </c>
      <c r="G1401" s="11">
        <v>2620.8000000000002</v>
      </c>
      <c r="H1401" s="11">
        <v>2620.8000000000002</v>
      </c>
      <c r="I1401" s="4" t="s">
        <v>366</v>
      </c>
      <c r="J1401" s="4" t="s">
        <v>367</v>
      </c>
      <c r="K1401" s="11">
        <v>0</v>
      </c>
      <c r="L1401" s="4"/>
      <c r="M1401" s="4"/>
      <c r="N1401" s="11">
        <v>0</v>
      </c>
      <c r="O1401" s="4"/>
      <c r="P1401" s="4"/>
      <c r="Q1401" s="11">
        <v>0</v>
      </c>
      <c r="R1401" s="4"/>
      <c r="S1401" s="12"/>
    </row>
    <row r="1402" spans="1:19" x14ac:dyDescent="0.25">
      <c r="A1402" s="9" t="s">
        <v>485</v>
      </c>
      <c r="B1402" s="9" t="s">
        <v>485</v>
      </c>
      <c r="C1402" s="4">
        <v>201000657</v>
      </c>
      <c r="D1402" s="4"/>
      <c r="E1402" s="4" t="str">
        <f>"025472010"</f>
        <v>025472010</v>
      </c>
      <c r="F1402" s="10">
        <v>40177</v>
      </c>
      <c r="G1402" s="11">
        <v>2508.8000000000002</v>
      </c>
      <c r="H1402" s="11">
        <v>2508.8000000000002</v>
      </c>
      <c r="I1402" s="4" t="s">
        <v>366</v>
      </c>
      <c r="J1402" s="4" t="s">
        <v>367</v>
      </c>
      <c r="K1402" s="11">
        <v>0</v>
      </c>
      <c r="L1402" s="4"/>
      <c r="M1402" s="4"/>
      <c r="N1402" s="11">
        <v>0</v>
      </c>
      <c r="O1402" s="4"/>
      <c r="P1402" s="4"/>
      <c r="Q1402" s="11">
        <v>0</v>
      </c>
      <c r="R1402" s="4"/>
      <c r="S1402" s="12"/>
    </row>
    <row r="1403" spans="1:19" x14ac:dyDescent="0.25">
      <c r="A1403" s="9" t="s">
        <v>485</v>
      </c>
      <c r="B1403" s="9" t="s">
        <v>485</v>
      </c>
      <c r="C1403" s="4">
        <v>201000660</v>
      </c>
      <c r="D1403" s="4"/>
      <c r="E1403" s="4" t="str">
        <f>"012472010"</f>
        <v>012472010</v>
      </c>
      <c r="F1403" s="10">
        <v>40134</v>
      </c>
      <c r="G1403" s="11">
        <v>3233.07</v>
      </c>
      <c r="H1403" s="11">
        <v>3233.07</v>
      </c>
      <c r="I1403" s="4" t="s">
        <v>366</v>
      </c>
      <c r="J1403" s="4" t="s">
        <v>367</v>
      </c>
      <c r="K1403" s="11">
        <v>0</v>
      </c>
      <c r="L1403" s="4"/>
      <c r="M1403" s="4"/>
      <c r="N1403" s="11">
        <v>0</v>
      </c>
      <c r="O1403" s="4"/>
      <c r="P1403" s="4"/>
      <c r="Q1403" s="11">
        <v>0</v>
      </c>
      <c r="R1403" s="4"/>
      <c r="S1403" s="12"/>
    </row>
    <row r="1404" spans="1:19" x14ac:dyDescent="0.25">
      <c r="A1404" s="9" t="s">
        <v>485</v>
      </c>
      <c r="B1404" s="9" t="s">
        <v>485</v>
      </c>
      <c r="C1404" s="4">
        <v>201000664</v>
      </c>
      <c r="D1404" s="4"/>
      <c r="E1404" s="4" t="str">
        <f>"012452010"</f>
        <v>012452010</v>
      </c>
      <c r="F1404" s="10">
        <v>40133</v>
      </c>
      <c r="G1404" s="11">
        <v>2721.14</v>
      </c>
      <c r="H1404" s="11">
        <v>2721.14</v>
      </c>
      <c r="I1404" s="4" t="s">
        <v>366</v>
      </c>
      <c r="J1404" s="4" t="s">
        <v>367</v>
      </c>
      <c r="K1404" s="11">
        <v>0</v>
      </c>
      <c r="L1404" s="4"/>
      <c r="M1404" s="4"/>
      <c r="N1404" s="11">
        <v>0</v>
      </c>
      <c r="O1404" s="4"/>
      <c r="P1404" s="4"/>
      <c r="Q1404" s="11">
        <v>0</v>
      </c>
      <c r="R1404" s="4"/>
      <c r="S1404" s="12"/>
    </row>
    <row r="1405" spans="1:19" x14ac:dyDescent="0.25">
      <c r="A1405" s="9" t="s">
        <v>485</v>
      </c>
      <c r="B1405" s="9" t="s">
        <v>485</v>
      </c>
      <c r="C1405" s="4">
        <v>201000670</v>
      </c>
      <c r="D1405" s="4"/>
      <c r="E1405" s="4" t="str">
        <f>"013072010"</f>
        <v>013072010</v>
      </c>
      <c r="F1405" s="10">
        <v>40137</v>
      </c>
      <c r="G1405" s="11">
        <v>6567.53</v>
      </c>
      <c r="H1405" s="11">
        <v>6567.53</v>
      </c>
      <c r="I1405" s="4" t="s">
        <v>366</v>
      </c>
      <c r="J1405" s="4" t="s">
        <v>367</v>
      </c>
      <c r="K1405" s="11">
        <v>0</v>
      </c>
      <c r="L1405" s="4"/>
      <c r="M1405" s="4"/>
      <c r="N1405" s="11">
        <v>0</v>
      </c>
      <c r="O1405" s="4"/>
      <c r="P1405" s="4"/>
      <c r="Q1405" s="11">
        <v>0</v>
      </c>
      <c r="R1405" s="4"/>
      <c r="S1405" s="12"/>
    </row>
    <row r="1406" spans="1:19" x14ac:dyDescent="0.25">
      <c r="A1406" s="9" t="s">
        <v>485</v>
      </c>
      <c r="B1406" s="9" t="s">
        <v>485</v>
      </c>
      <c r="C1406" s="4">
        <v>201000672</v>
      </c>
      <c r="D1406" s="4" t="s">
        <v>1984</v>
      </c>
      <c r="E1406" s="4" t="str">
        <f>"013092010"</f>
        <v>013092010</v>
      </c>
      <c r="F1406" s="10">
        <v>40137</v>
      </c>
      <c r="G1406" s="11">
        <v>200000</v>
      </c>
      <c r="H1406" s="11">
        <v>200000</v>
      </c>
      <c r="I1406" s="4" t="s">
        <v>687</v>
      </c>
      <c r="J1406" s="4" t="s">
        <v>688</v>
      </c>
      <c r="K1406" s="11">
        <v>0</v>
      </c>
      <c r="L1406" s="4"/>
      <c r="M1406" s="4"/>
      <c r="N1406" s="11">
        <v>0</v>
      </c>
      <c r="O1406" s="4"/>
      <c r="P1406" s="4"/>
      <c r="Q1406" s="11">
        <v>0</v>
      </c>
      <c r="R1406" s="4"/>
      <c r="S1406" s="12"/>
    </row>
    <row r="1407" spans="1:19" x14ac:dyDescent="0.25">
      <c r="A1407" s="9" t="s">
        <v>485</v>
      </c>
      <c r="B1407" s="9" t="s">
        <v>485</v>
      </c>
      <c r="C1407" s="4">
        <v>201000691</v>
      </c>
      <c r="D1407" s="4"/>
      <c r="E1407" s="4" t="str">
        <f>"012872010"</f>
        <v>012872010</v>
      </c>
      <c r="F1407" s="10">
        <v>40136</v>
      </c>
      <c r="G1407" s="11">
        <v>5770.49</v>
      </c>
      <c r="H1407" s="11">
        <v>5770.49</v>
      </c>
      <c r="I1407" s="4" t="s">
        <v>366</v>
      </c>
      <c r="J1407" s="4" t="s">
        <v>367</v>
      </c>
      <c r="K1407" s="11">
        <v>0</v>
      </c>
      <c r="L1407" s="4"/>
      <c r="M1407" s="4"/>
      <c r="N1407" s="11">
        <v>0</v>
      </c>
      <c r="O1407" s="4"/>
      <c r="P1407" s="4"/>
      <c r="Q1407" s="11">
        <v>0</v>
      </c>
      <c r="R1407" s="4"/>
      <c r="S1407" s="12"/>
    </row>
    <row r="1408" spans="1:19" x14ac:dyDescent="0.25">
      <c r="A1408" s="9" t="s">
        <v>485</v>
      </c>
      <c r="B1408" s="9" t="s">
        <v>485</v>
      </c>
      <c r="C1408" s="4">
        <v>201000701</v>
      </c>
      <c r="D1408" s="4"/>
      <c r="E1408" s="4" t="str">
        <f>"013012010"</f>
        <v>013012010</v>
      </c>
      <c r="F1408" s="10">
        <v>40137</v>
      </c>
      <c r="G1408" s="11">
        <v>4625</v>
      </c>
      <c r="H1408" s="11">
        <v>4625</v>
      </c>
      <c r="I1408" s="4" t="s">
        <v>366</v>
      </c>
      <c r="J1408" s="4" t="s">
        <v>367</v>
      </c>
      <c r="K1408" s="11">
        <v>0</v>
      </c>
      <c r="L1408" s="4"/>
      <c r="M1408" s="4"/>
      <c r="N1408" s="11">
        <v>0</v>
      </c>
      <c r="O1408" s="4"/>
      <c r="P1408" s="4"/>
      <c r="Q1408" s="11">
        <v>0</v>
      </c>
      <c r="R1408" s="4"/>
      <c r="S1408" s="12"/>
    </row>
    <row r="1409" spans="1:19" x14ac:dyDescent="0.25">
      <c r="A1409" s="9" t="s">
        <v>485</v>
      </c>
      <c r="B1409" s="9" t="s">
        <v>485</v>
      </c>
      <c r="C1409" s="4">
        <v>201000749</v>
      </c>
      <c r="D1409" s="4"/>
      <c r="E1409" s="4" t="str">
        <f>"015622010"</f>
        <v>015622010</v>
      </c>
      <c r="F1409" s="10">
        <v>40142</v>
      </c>
      <c r="G1409" s="11">
        <v>4424.22</v>
      </c>
      <c r="H1409" s="11">
        <v>4424.22</v>
      </c>
      <c r="I1409" s="4" t="s">
        <v>366</v>
      </c>
      <c r="J1409" s="4" t="s">
        <v>367</v>
      </c>
      <c r="K1409" s="11">
        <v>0</v>
      </c>
      <c r="L1409" s="4"/>
      <c r="M1409" s="4"/>
      <c r="N1409" s="11">
        <v>0</v>
      </c>
      <c r="O1409" s="4"/>
      <c r="P1409" s="4"/>
      <c r="Q1409" s="11">
        <v>0</v>
      </c>
      <c r="R1409" s="4"/>
      <c r="S1409" s="12"/>
    </row>
    <row r="1410" spans="1:19" x14ac:dyDescent="0.25">
      <c r="A1410" s="9" t="s">
        <v>485</v>
      </c>
      <c r="B1410" s="9" t="s">
        <v>485</v>
      </c>
      <c r="C1410" s="4">
        <v>201000752</v>
      </c>
      <c r="D1410" s="4"/>
      <c r="E1410" s="4" t="str">
        <f>"014162010"</f>
        <v>014162010</v>
      </c>
      <c r="F1410" s="10">
        <v>40141</v>
      </c>
      <c r="G1410" s="11">
        <v>3798.21</v>
      </c>
      <c r="H1410" s="11">
        <v>3798.21</v>
      </c>
      <c r="I1410" s="4" t="s">
        <v>54</v>
      </c>
      <c r="J1410" s="4" t="s">
        <v>55</v>
      </c>
      <c r="K1410" s="11">
        <v>0</v>
      </c>
      <c r="L1410" s="4"/>
      <c r="M1410" s="4"/>
      <c r="N1410" s="11">
        <v>0</v>
      </c>
      <c r="O1410" s="4"/>
      <c r="P1410" s="4"/>
      <c r="Q1410" s="11">
        <v>0</v>
      </c>
      <c r="R1410" s="4"/>
      <c r="S1410" s="12"/>
    </row>
    <row r="1411" spans="1:19" x14ac:dyDescent="0.25">
      <c r="A1411" s="9" t="s">
        <v>485</v>
      </c>
      <c r="B1411" s="9" t="s">
        <v>485</v>
      </c>
      <c r="C1411" s="4">
        <v>201000754</v>
      </c>
      <c r="D1411" s="4"/>
      <c r="E1411" s="4" t="str">
        <f>"014642010"</f>
        <v>014642010</v>
      </c>
      <c r="F1411" s="10">
        <v>40141</v>
      </c>
      <c r="G1411" s="11">
        <v>3856.11</v>
      </c>
      <c r="H1411" s="11">
        <v>3856.11</v>
      </c>
      <c r="I1411" s="4" t="s">
        <v>366</v>
      </c>
      <c r="J1411" s="4" t="s">
        <v>367</v>
      </c>
      <c r="K1411" s="11">
        <v>0</v>
      </c>
      <c r="L1411" s="4"/>
      <c r="M1411" s="4"/>
      <c r="N1411" s="11">
        <v>0</v>
      </c>
      <c r="O1411" s="4"/>
      <c r="P1411" s="4"/>
      <c r="Q1411" s="11">
        <v>0</v>
      </c>
      <c r="R1411" s="4"/>
      <c r="S1411" s="12"/>
    </row>
    <row r="1412" spans="1:19" x14ac:dyDescent="0.25">
      <c r="A1412" s="9" t="s">
        <v>485</v>
      </c>
      <c r="B1412" s="9" t="s">
        <v>485</v>
      </c>
      <c r="C1412" s="4">
        <v>201000771</v>
      </c>
      <c r="D1412" s="4"/>
      <c r="E1412" s="4" t="str">
        <f>"014542010"</f>
        <v>014542010</v>
      </c>
      <c r="F1412" s="10">
        <v>40141</v>
      </c>
      <c r="G1412" s="11">
        <v>3392.94</v>
      </c>
      <c r="H1412" s="11">
        <v>3392.94</v>
      </c>
      <c r="I1412" s="4" t="s">
        <v>366</v>
      </c>
      <c r="J1412" s="4" t="s">
        <v>367</v>
      </c>
      <c r="K1412" s="11">
        <v>0</v>
      </c>
      <c r="L1412" s="4"/>
      <c r="M1412" s="4"/>
      <c r="N1412" s="11">
        <v>0</v>
      </c>
      <c r="O1412" s="4"/>
      <c r="P1412" s="4"/>
      <c r="Q1412" s="11">
        <v>0</v>
      </c>
      <c r="R1412" s="4"/>
      <c r="S1412" s="12"/>
    </row>
    <row r="1413" spans="1:19" x14ac:dyDescent="0.25">
      <c r="A1413" s="9" t="s">
        <v>485</v>
      </c>
      <c r="B1413" s="9" t="s">
        <v>485</v>
      </c>
      <c r="C1413" s="4">
        <v>201000775</v>
      </c>
      <c r="D1413" s="4"/>
      <c r="E1413" s="4" t="str">
        <f>"015942010"</f>
        <v>015942010</v>
      </c>
      <c r="F1413" s="10">
        <v>40149</v>
      </c>
      <c r="G1413" s="11">
        <v>4437.68</v>
      </c>
      <c r="H1413" s="11">
        <v>4437.68</v>
      </c>
      <c r="I1413" s="4" t="s">
        <v>366</v>
      </c>
      <c r="J1413" s="4" t="s">
        <v>367</v>
      </c>
      <c r="K1413" s="11">
        <v>0</v>
      </c>
      <c r="L1413" s="4"/>
      <c r="M1413" s="4"/>
      <c r="N1413" s="11">
        <v>0</v>
      </c>
      <c r="O1413" s="4"/>
      <c r="P1413" s="4"/>
      <c r="Q1413" s="11">
        <v>0</v>
      </c>
      <c r="R1413" s="4"/>
      <c r="S1413" s="12"/>
    </row>
    <row r="1414" spans="1:19" x14ac:dyDescent="0.25">
      <c r="A1414" s="9" t="s">
        <v>485</v>
      </c>
      <c r="B1414" s="9" t="s">
        <v>485</v>
      </c>
      <c r="C1414" s="4">
        <v>201000782</v>
      </c>
      <c r="D1414" s="4"/>
      <c r="E1414" s="4" t="str">
        <f>"014782010"</f>
        <v>014782010</v>
      </c>
      <c r="F1414" s="10">
        <v>40142</v>
      </c>
      <c r="G1414" s="11">
        <v>200000</v>
      </c>
      <c r="H1414" s="11">
        <v>200000</v>
      </c>
      <c r="I1414" s="4" t="s">
        <v>687</v>
      </c>
      <c r="J1414" s="4" t="s">
        <v>688</v>
      </c>
      <c r="K1414" s="11">
        <v>0</v>
      </c>
      <c r="L1414" s="4"/>
      <c r="M1414" s="4"/>
      <c r="N1414" s="11">
        <v>0</v>
      </c>
      <c r="O1414" s="4"/>
      <c r="P1414" s="4"/>
      <c r="Q1414" s="11">
        <v>0</v>
      </c>
      <c r="R1414" s="4"/>
      <c r="S1414" s="12"/>
    </row>
    <row r="1415" spans="1:19" x14ac:dyDescent="0.25">
      <c r="A1415" s="9" t="s">
        <v>485</v>
      </c>
      <c r="B1415" s="9" t="s">
        <v>485</v>
      </c>
      <c r="C1415" s="4">
        <v>201000783</v>
      </c>
      <c r="D1415" s="4"/>
      <c r="E1415" s="4" t="str">
        <f>"019592010"</f>
        <v>019592010</v>
      </c>
      <c r="F1415" s="10">
        <v>40157</v>
      </c>
      <c r="G1415" s="11">
        <v>2995.01</v>
      </c>
      <c r="H1415" s="11">
        <v>2995.01</v>
      </c>
      <c r="I1415" s="4" t="s">
        <v>366</v>
      </c>
      <c r="J1415" s="4" t="s">
        <v>367</v>
      </c>
      <c r="K1415" s="11">
        <v>0</v>
      </c>
      <c r="L1415" s="4"/>
      <c r="M1415" s="4"/>
      <c r="N1415" s="11">
        <v>0</v>
      </c>
      <c r="O1415" s="4"/>
      <c r="P1415" s="4"/>
      <c r="Q1415" s="11">
        <v>0</v>
      </c>
      <c r="R1415" s="4"/>
      <c r="S1415" s="12"/>
    </row>
    <row r="1416" spans="1:19" x14ac:dyDescent="0.25">
      <c r="A1416" s="9" t="s">
        <v>485</v>
      </c>
      <c r="B1416" s="9" t="s">
        <v>485</v>
      </c>
      <c r="C1416" s="4">
        <v>201000804</v>
      </c>
      <c r="D1416" s="4"/>
      <c r="E1416" s="4" t="str">
        <f>"015662010"</f>
        <v>015662010</v>
      </c>
      <c r="F1416" s="10">
        <v>40142</v>
      </c>
      <c r="G1416" s="11">
        <v>4489</v>
      </c>
      <c r="H1416" s="11">
        <v>4489</v>
      </c>
      <c r="I1416" s="4" t="s">
        <v>366</v>
      </c>
      <c r="J1416" s="4" t="s">
        <v>367</v>
      </c>
      <c r="K1416" s="11">
        <v>0</v>
      </c>
      <c r="L1416" s="4"/>
      <c r="M1416" s="4"/>
      <c r="N1416" s="11">
        <v>0</v>
      </c>
      <c r="O1416" s="4"/>
      <c r="P1416" s="4"/>
      <c r="Q1416" s="11">
        <v>0</v>
      </c>
      <c r="R1416" s="4"/>
      <c r="S1416" s="12"/>
    </row>
    <row r="1417" spans="1:19" x14ac:dyDescent="0.25">
      <c r="A1417" s="9" t="s">
        <v>485</v>
      </c>
      <c r="B1417" s="9" t="s">
        <v>485</v>
      </c>
      <c r="C1417" s="4">
        <v>201000814</v>
      </c>
      <c r="D1417" s="4"/>
      <c r="E1417" s="4" t="str">
        <f>"015642010"</f>
        <v>015642010</v>
      </c>
      <c r="F1417" s="10">
        <v>40142</v>
      </c>
      <c r="G1417" s="11">
        <v>2799.79</v>
      </c>
      <c r="H1417" s="11">
        <v>2799.79</v>
      </c>
      <c r="I1417" s="4" t="s">
        <v>366</v>
      </c>
      <c r="J1417" s="4" t="s">
        <v>367</v>
      </c>
      <c r="K1417" s="11">
        <v>0</v>
      </c>
      <c r="L1417" s="4"/>
      <c r="M1417" s="4"/>
      <c r="N1417" s="11">
        <v>0</v>
      </c>
      <c r="O1417" s="4"/>
      <c r="P1417" s="4"/>
      <c r="Q1417" s="11">
        <v>0</v>
      </c>
      <c r="R1417" s="4"/>
      <c r="S1417" s="12"/>
    </row>
    <row r="1418" spans="1:19" x14ac:dyDescent="0.25">
      <c r="A1418" s="9" t="s">
        <v>485</v>
      </c>
      <c r="B1418" s="9" t="s">
        <v>485</v>
      </c>
      <c r="C1418" s="4">
        <v>201000818</v>
      </c>
      <c r="D1418" s="4"/>
      <c r="E1418" s="4" t="str">
        <f>"016182010"</f>
        <v>016182010</v>
      </c>
      <c r="F1418" s="10">
        <v>40149</v>
      </c>
      <c r="G1418" s="11">
        <v>3866.25</v>
      </c>
      <c r="H1418" s="11">
        <v>3866.25</v>
      </c>
      <c r="I1418" s="4" t="s">
        <v>366</v>
      </c>
      <c r="J1418" s="4" t="s">
        <v>367</v>
      </c>
      <c r="K1418" s="11">
        <v>0</v>
      </c>
      <c r="L1418" s="4"/>
      <c r="M1418" s="4"/>
      <c r="N1418" s="11">
        <v>0</v>
      </c>
      <c r="O1418" s="4"/>
      <c r="P1418" s="4"/>
      <c r="Q1418" s="11">
        <v>0</v>
      </c>
      <c r="R1418" s="4"/>
      <c r="S1418" s="12"/>
    </row>
    <row r="1419" spans="1:19" x14ac:dyDescent="0.25">
      <c r="A1419" s="9" t="s">
        <v>485</v>
      </c>
      <c r="B1419" s="9" t="s">
        <v>485</v>
      </c>
      <c r="C1419" s="4">
        <v>201000825</v>
      </c>
      <c r="D1419" s="4"/>
      <c r="E1419" s="4" t="str">
        <f>"016102010"</f>
        <v>016102010</v>
      </c>
      <c r="F1419" s="10">
        <v>40149</v>
      </c>
      <c r="G1419" s="11">
        <v>4800</v>
      </c>
      <c r="H1419" s="11">
        <v>4800</v>
      </c>
      <c r="I1419" s="4" t="s">
        <v>366</v>
      </c>
      <c r="J1419" s="4" t="s">
        <v>367</v>
      </c>
      <c r="K1419" s="11">
        <v>0</v>
      </c>
      <c r="L1419" s="4"/>
      <c r="M1419" s="4"/>
      <c r="N1419" s="11">
        <v>0</v>
      </c>
      <c r="O1419" s="4"/>
      <c r="P1419" s="4"/>
      <c r="Q1419" s="11">
        <v>0</v>
      </c>
      <c r="R1419" s="4"/>
      <c r="S1419" s="12"/>
    </row>
    <row r="1420" spans="1:19" x14ac:dyDescent="0.25">
      <c r="A1420" s="9" t="s">
        <v>485</v>
      </c>
      <c r="B1420" s="9" t="s">
        <v>485</v>
      </c>
      <c r="C1420" s="4">
        <v>201000826</v>
      </c>
      <c r="D1420" s="4"/>
      <c r="E1420" s="4" t="str">
        <f>"015762010"</f>
        <v>015762010</v>
      </c>
      <c r="F1420" s="10">
        <v>40142</v>
      </c>
      <c r="G1420" s="11">
        <v>8215</v>
      </c>
      <c r="H1420" s="11">
        <v>8215</v>
      </c>
      <c r="I1420" s="4" t="s">
        <v>54</v>
      </c>
      <c r="J1420" s="4" t="s">
        <v>55</v>
      </c>
      <c r="K1420" s="11">
        <v>0</v>
      </c>
      <c r="L1420" s="4"/>
      <c r="M1420" s="4"/>
      <c r="N1420" s="11">
        <v>0</v>
      </c>
      <c r="O1420" s="4"/>
      <c r="P1420" s="4"/>
      <c r="Q1420" s="11">
        <v>0</v>
      </c>
      <c r="R1420" s="4"/>
      <c r="S1420" s="12"/>
    </row>
    <row r="1421" spans="1:19" x14ac:dyDescent="0.25">
      <c r="A1421" s="9" t="s">
        <v>485</v>
      </c>
      <c r="B1421" s="9" t="s">
        <v>485</v>
      </c>
      <c r="C1421" s="4">
        <v>201000830</v>
      </c>
      <c r="D1421" s="4"/>
      <c r="E1421" s="4" t="str">
        <f>"015822010"</f>
        <v>015822010</v>
      </c>
      <c r="F1421" s="10">
        <v>40142</v>
      </c>
      <c r="G1421" s="11">
        <v>3885</v>
      </c>
      <c r="H1421" s="11">
        <v>3885</v>
      </c>
      <c r="I1421" s="4" t="s">
        <v>366</v>
      </c>
      <c r="J1421" s="4" t="s">
        <v>367</v>
      </c>
      <c r="K1421" s="11">
        <v>0</v>
      </c>
      <c r="L1421" s="4"/>
      <c r="M1421" s="4"/>
      <c r="N1421" s="11">
        <v>0</v>
      </c>
      <c r="O1421" s="4"/>
      <c r="P1421" s="4"/>
      <c r="Q1421" s="11">
        <v>0</v>
      </c>
      <c r="R1421" s="4"/>
      <c r="S1421" s="12"/>
    </row>
    <row r="1422" spans="1:19" x14ac:dyDescent="0.25">
      <c r="A1422" s="9" t="s">
        <v>485</v>
      </c>
      <c r="B1422" s="9" t="s">
        <v>485</v>
      </c>
      <c r="C1422" s="4">
        <v>201000836</v>
      </c>
      <c r="D1422" s="4"/>
      <c r="E1422" s="4" t="str">
        <f>"015882010"</f>
        <v>015882010</v>
      </c>
      <c r="F1422" s="10">
        <v>40149</v>
      </c>
      <c r="G1422" s="11">
        <v>11200</v>
      </c>
      <c r="H1422" s="11">
        <v>11200</v>
      </c>
      <c r="I1422" s="4" t="s">
        <v>366</v>
      </c>
      <c r="J1422" s="4" t="s">
        <v>367</v>
      </c>
      <c r="K1422" s="11">
        <v>0</v>
      </c>
      <c r="L1422" s="4"/>
      <c r="M1422" s="4"/>
      <c r="N1422" s="11">
        <v>0</v>
      </c>
      <c r="O1422" s="4"/>
      <c r="P1422" s="4"/>
      <c r="Q1422" s="11">
        <v>0</v>
      </c>
      <c r="R1422" s="4"/>
      <c r="S1422" s="12"/>
    </row>
    <row r="1423" spans="1:19" x14ac:dyDescent="0.25">
      <c r="A1423" s="9" t="s">
        <v>485</v>
      </c>
      <c r="B1423" s="9" t="s">
        <v>485</v>
      </c>
      <c r="C1423" s="4">
        <v>201000837</v>
      </c>
      <c r="D1423" s="4" t="s">
        <v>2012</v>
      </c>
      <c r="E1423" s="4" t="str">
        <f>"016452010"</f>
        <v>016452010</v>
      </c>
      <c r="F1423" s="10">
        <v>40149</v>
      </c>
      <c r="G1423" s="11">
        <v>30000</v>
      </c>
      <c r="H1423" s="11">
        <v>30000</v>
      </c>
      <c r="I1423" s="4" t="s">
        <v>366</v>
      </c>
      <c r="J1423" s="4" t="s">
        <v>367</v>
      </c>
      <c r="K1423" s="11">
        <v>0</v>
      </c>
      <c r="L1423" s="4"/>
      <c r="M1423" s="4"/>
      <c r="N1423" s="11">
        <v>0</v>
      </c>
      <c r="O1423" s="4"/>
      <c r="P1423" s="4"/>
      <c r="Q1423" s="11">
        <v>0</v>
      </c>
      <c r="R1423" s="4"/>
      <c r="S1423" s="12"/>
    </row>
    <row r="1424" spans="1:19" x14ac:dyDescent="0.25">
      <c r="A1424" s="9" t="s">
        <v>485</v>
      </c>
      <c r="B1424" s="9" t="s">
        <v>485</v>
      </c>
      <c r="C1424" s="4">
        <v>201000851</v>
      </c>
      <c r="D1424" s="4" t="s">
        <v>2013</v>
      </c>
      <c r="E1424" s="4" t="str">
        <f>"018892010"</f>
        <v>018892010</v>
      </c>
      <c r="F1424" s="10">
        <v>40154</v>
      </c>
      <c r="G1424" s="11">
        <v>15000</v>
      </c>
      <c r="H1424" s="11">
        <v>15000</v>
      </c>
      <c r="I1424" s="4" t="s">
        <v>366</v>
      </c>
      <c r="J1424" s="4" t="s">
        <v>367</v>
      </c>
      <c r="K1424" s="11">
        <v>0</v>
      </c>
      <c r="L1424" s="4"/>
      <c r="M1424" s="4"/>
      <c r="N1424" s="11">
        <v>0</v>
      </c>
      <c r="O1424" s="4"/>
      <c r="P1424" s="4"/>
      <c r="Q1424" s="11">
        <v>0</v>
      </c>
      <c r="R1424" s="4"/>
      <c r="S1424" s="12"/>
    </row>
    <row r="1425" spans="1:19" x14ac:dyDescent="0.25">
      <c r="A1425" s="9" t="s">
        <v>485</v>
      </c>
      <c r="B1425" s="9" t="s">
        <v>485</v>
      </c>
      <c r="C1425" s="4">
        <v>201000858</v>
      </c>
      <c r="D1425" s="4" t="s">
        <v>2014</v>
      </c>
      <c r="E1425" s="4" t="str">
        <f>"025872010"</f>
        <v>025872010</v>
      </c>
      <c r="F1425" s="10">
        <v>40186</v>
      </c>
      <c r="G1425" s="11">
        <v>23754</v>
      </c>
      <c r="H1425" s="11">
        <v>23754</v>
      </c>
      <c r="I1425" s="4" t="s">
        <v>2015</v>
      </c>
      <c r="J1425" s="4" t="s">
        <v>2016</v>
      </c>
      <c r="K1425" s="11">
        <v>0</v>
      </c>
      <c r="L1425" s="4"/>
      <c r="M1425" s="4"/>
      <c r="N1425" s="11">
        <v>0</v>
      </c>
      <c r="O1425" s="4"/>
      <c r="P1425" s="4"/>
      <c r="Q1425" s="11">
        <v>0</v>
      </c>
      <c r="R1425" s="4"/>
      <c r="S1425" s="12"/>
    </row>
    <row r="1426" spans="1:19" x14ac:dyDescent="0.25">
      <c r="A1426" s="9" t="s">
        <v>485</v>
      </c>
      <c r="B1426" s="9" t="s">
        <v>485</v>
      </c>
      <c r="C1426" s="4">
        <v>201000863</v>
      </c>
      <c r="D1426" s="4"/>
      <c r="E1426" s="4" t="str">
        <f>"016692010"</f>
        <v>016692010</v>
      </c>
      <c r="F1426" s="10">
        <v>40150</v>
      </c>
      <c r="G1426" s="11">
        <v>3110.42</v>
      </c>
      <c r="H1426" s="11">
        <v>3110.42</v>
      </c>
      <c r="I1426" s="4" t="s">
        <v>366</v>
      </c>
      <c r="J1426" s="4" t="s">
        <v>367</v>
      </c>
      <c r="K1426" s="11">
        <v>0</v>
      </c>
      <c r="L1426" s="4"/>
      <c r="M1426" s="4"/>
      <c r="N1426" s="11">
        <v>0</v>
      </c>
      <c r="O1426" s="4"/>
      <c r="P1426" s="4"/>
      <c r="Q1426" s="11">
        <v>0</v>
      </c>
      <c r="R1426" s="4"/>
      <c r="S1426" s="12"/>
    </row>
    <row r="1427" spans="1:19" x14ac:dyDescent="0.25">
      <c r="A1427" s="9" t="s">
        <v>485</v>
      </c>
      <c r="B1427" s="9" t="s">
        <v>485</v>
      </c>
      <c r="C1427" s="4">
        <v>201000880</v>
      </c>
      <c r="D1427" s="4" t="s">
        <v>2017</v>
      </c>
      <c r="E1427" s="4" t="str">
        <f>"016802010"</f>
        <v>016802010</v>
      </c>
      <c r="F1427" s="10">
        <v>40149</v>
      </c>
      <c r="G1427" s="11">
        <v>43440</v>
      </c>
      <c r="H1427" s="11">
        <v>43440</v>
      </c>
      <c r="I1427" s="4" t="s">
        <v>366</v>
      </c>
      <c r="J1427" s="4" t="s">
        <v>367</v>
      </c>
      <c r="K1427" s="11">
        <v>0</v>
      </c>
      <c r="L1427" s="4"/>
      <c r="M1427" s="4"/>
      <c r="N1427" s="11">
        <v>0</v>
      </c>
      <c r="O1427" s="4"/>
      <c r="P1427" s="4"/>
      <c r="Q1427" s="11">
        <v>0</v>
      </c>
      <c r="R1427" s="4"/>
      <c r="S1427" s="12"/>
    </row>
    <row r="1428" spans="1:19" x14ac:dyDescent="0.25">
      <c r="A1428" s="9" t="s">
        <v>485</v>
      </c>
      <c r="B1428" s="9" t="s">
        <v>485</v>
      </c>
      <c r="C1428" s="4">
        <v>201000893</v>
      </c>
      <c r="D1428" s="4"/>
      <c r="E1428" s="4" t="str">
        <f>"017062010"</f>
        <v>017062010</v>
      </c>
      <c r="F1428" s="10">
        <v>40149</v>
      </c>
      <c r="G1428" s="11">
        <v>4945.96</v>
      </c>
      <c r="H1428" s="11">
        <v>4945.96</v>
      </c>
      <c r="I1428" s="4" t="s">
        <v>366</v>
      </c>
      <c r="J1428" s="4" t="s">
        <v>367</v>
      </c>
      <c r="K1428" s="11">
        <v>0</v>
      </c>
      <c r="L1428" s="4"/>
      <c r="M1428" s="4"/>
      <c r="N1428" s="11">
        <v>0</v>
      </c>
      <c r="O1428" s="4"/>
      <c r="P1428" s="4"/>
      <c r="Q1428" s="11">
        <v>0</v>
      </c>
      <c r="R1428" s="4"/>
      <c r="S1428" s="12"/>
    </row>
    <row r="1429" spans="1:19" x14ac:dyDescent="0.25">
      <c r="A1429" s="9" t="s">
        <v>485</v>
      </c>
      <c r="B1429" s="9" t="s">
        <v>485</v>
      </c>
      <c r="C1429" s="4">
        <v>201000897</v>
      </c>
      <c r="D1429" s="4"/>
      <c r="E1429" s="4" t="str">
        <f>"017142010"</f>
        <v>017142010</v>
      </c>
      <c r="F1429" s="10">
        <v>40149</v>
      </c>
      <c r="G1429" s="11">
        <v>18878.060000000001</v>
      </c>
      <c r="H1429" s="11">
        <v>18878.060000000001</v>
      </c>
      <c r="I1429" s="4" t="s">
        <v>366</v>
      </c>
      <c r="J1429" s="4" t="s">
        <v>367</v>
      </c>
      <c r="K1429" s="11">
        <v>0</v>
      </c>
      <c r="L1429" s="4"/>
      <c r="M1429" s="4"/>
      <c r="N1429" s="11">
        <v>0</v>
      </c>
      <c r="O1429" s="4"/>
      <c r="P1429" s="4"/>
      <c r="Q1429" s="11">
        <v>0</v>
      </c>
      <c r="R1429" s="4"/>
      <c r="S1429" s="12"/>
    </row>
    <row r="1430" spans="1:19" x14ac:dyDescent="0.25">
      <c r="A1430" s="9" t="s">
        <v>485</v>
      </c>
      <c r="B1430" s="9" t="s">
        <v>485</v>
      </c>
      <c r="C1430" s="4">
        <v>201000900</v>
      </c>
      <c r="D1430" s="4" t="s">
        <v>2018</v>
      </c>
      <c r="E1430" s="4" t="str">
        <f>"017282010"</f>
        <v>017282010</v>
      </c>
      <c r="F1430" s="10">
        <v>40149</v>
      </c>
      <c r="G1430" s="11">
        <v>5000</v>
      </c>
      <c r="H1430" s="11">
        <v>5000</v>
      </c>
      <c r="I1430" s="4" t="s">
        <v>366</v>
      </c>
      <c r="J1430" s="4" t="s">
        <v>367</v>
      </c>
      <c r="K1430" s="11">
        <v>0</v>
      </c>
      <c r="L1430" s="4"/>
      <c r="M1430" s="4"/>
      <c r="N1430" s="11">
        <v>0</v>
      </c>
      <c r="O1430" s="4"/>
      <c r="P1430" s="4"/>
      <c r="Q1430" s="11">
        <v>0</v>
      </c>
      <c r="R1430" s="4"/>
      <c r="S1430" s="12"/>
    </row>
    <row r="1431" spans="1:19" x14ac:dyDescent="0.25">
      <c r="A1431" s="9" t="s">
        <v>485</v>
      </c>
      <c r="B1431" s="9" t="s">
        <v>485</v>
      </c>
      <c r="C1431" s="4">
        <v>201000903</v>
      </c>
      <c r="D1431" s="4"/>
      <c r="E1431" s="4" t="str">
        <f>"017402010"</f>
        <v>017402010</v>
      </c>
      <c r="F1431" s="10">
        <v>40150</v>
      </c>
      <c r="G1431" s="11">
        <v>6324.35</v>
      </c>
      <c r="H1431" s="11">
        <v>6324.35</v>
      </c>
      <c r="I1431" s="4" t="s">
        <v>366</v>
      </c>
      <c r="J1431" s="4" t="s">
        <v>367</v>
      </c>
      <c r="K1431" s="11">
        <v>0</v>
      </c>
      <c r="L1431" s="4"/>
      <c r="M1431" s="4"/>
      <c r="N1431" s="11">
        <v>0</v>
      </c>
      <c r="O1431" s="4"/>
      <c r="P1431" s="4"/>
      <c r="Q1431" s="11">
        <v>0</v>
      </c>
      <c r="R1431" s="4"/>
      <c r="S1431" s="12"/>
    </row>
    <row r="1432" spans="1:19" x14ac:dyDescent="0.25">
      <c r="A1432" s="9" t="s">
        <v>485</v>
      </c>
      <c r="B1432" s="9" t="s">
        <v>485</v>
      </c>
      <c r="C1432" s="4">
        <v>201000907</v>
      </c>
      <c r="D1432" s="4"/>
      <c r="E1432" s="4" t="str">
        <f>"017642010"</f>
        <v>017642010</v>
      </c>
      <c r="F1432" s="10">
        <v>40150</v>
      </c>
      <c r="G1432" s="11">
        <v>3192</v>
      </c>
      <c r="H1432" s="11">
        <v>3192</v>
      </c>
      <c r="I1432" s="4" t="s">
        <v>366</v>
      </c>
      <c r="J1432" s="4" t="s">
        <v>367</v>
      </c>
      <c r="K1432" s="11">
        <v>0</v>
      </c>
      <c r="L1432" s="4"/>
      <c r="M1432" s="4"/>
      <c r="N1432" s="11">
        <v>0</v>
      </c>
      <c r="O1432" s="4"/>
      <c r="P1432" s="4"/>
      <c r="Q1432" s="11">
        <v>0</v>
      </c>
      <c r="R1432" s="4"/>
      <c r="S1432" s="12"/>
    </row>
    <row r="1433" spans="1:19" x14ac:dyDescent="0.25">
      <c r="A1433" s="9" t="s">
        <v>485</v>
      </c>
      <c r="B1433" s="9" t="s">
        <v>485</v>
      </c>
      <c r="C1433" s="4">
        <v>201000918</v>
      </c>
      <c r="D1433" s="4"/>
      <c r="E1433" s="4" t="str">
        <f>"017542010"</f>
        <v>017542010</v>
      </c>
      <c r="F1433" s="10">
        <v>40150</v>
      </c>
      <c r="G1433" s="11">
        <v>3087.91</v>
      </c>
      <c r="H1433" s="11">
        <v>3087.91</v>
      </c>
      <c r="I1433" s="4" t="s">
        <v>366</v>
      </c>
      <c r="J1433" s="4" t="s">
        <v>367</v>
      </c>
      <c r="K1433" s="11">
        <v>0</v>
      </c>
      <c r="L1433" s="4"/>
      <c r="M1433" s="4"/>
      <c r="N1433" s="11">
        <v>0</v>
      </c>
      <c r="O1433" s="4"/>
      <c r="P1433" s="4"/>
      <c r="Q1433" s="11">
        <v>0</v>
      </c>
      <c r="R1433" s="4"/>
      <c r="S1433" s="12"/>
    </row>
    <row r="1434" spans="1:19" x14ac:dyDescent="0.25">
      <c r="A1434" s="9" t="s">
        <v>485</v>
      </c>
      <c r="B1434" s="9" t="s">
        <v>485</v>
      </c>
      <c r="C1434" s="4">
        <v>201000924</v>
      </c>
      <c r="D1434" s="4" t="s">
        <v>2019</v>
      </c>
      <c r="E1434" s="4" t="str">
        <f>"030802010"</f>
        <v>030802010</v>
      </c>
      <c r="F1434" s="10">
        <v>40193</v>
      </c>
      <c r="G1434" s="11">
        <v>12000</v>
      </c>
      <c r="H1434" s="11">
        <v>12000</v>
      </c>
      <c r="I1434" s="4" t="s">
        <v>366</v>
      </c>
      <c r="J1434" s="4" t="s">
        <v>367</v>
      </c>
      <c r="K1434" s="11">
        <v>0</v>
      </c>
      <c r="L1434" s="4"/>
      <c r="M1434" s="4"/>
      <c r="N1434" s="11">
        <v>0</v>
      </c>
      <c r="O1434" s="4"/>
      <c r="P1434" s="4"/>
      <c r="Q1434" s="11">
        <v>0</v>
      </c>
      <c r="R1434" s="4"/>
      <c r="S1434" s="12"/>
    </row>
    <row r="1435" spans="1:19" x14ac:dyDescent="0.25">
      <c r="A1435" s="9" t="s">
        <v>485</v>
      </c>
      <c r="B1435" s="9" t="s">
        <v>485</v>
      </c>
      <c r="C1435" s="4">
        <v>201000928</v>
      </c>
      <c r="D1435" s="4"/>
      <c r="E1435" s="4" t="str">
        <f>"017562010"</f>
        <v>017562010</v>
      </c>
      <c r="F1435" s="10">
        <v>40150</v>
      </c>
      <c r="G1435" s="11">
        <v>10219.299999999999</v>
      </c>
      <c r="H1435" s="11">
        <v>10219.299999999999</v>
      </c>
      <c r="I1435" s="4" t="s">
        <v>366</v>
      </c>
      <c r="J1435" s="4" t="s">
        <v>367</v>
      </c>
      <c r="K1435" s="11">
        <v>0</v>
      </c>
      <c r="L1435" s="4"/>
      <c r="M1435" s="4"/>
      <c r="N1435" s="11">
        <v>0</v>
      </c>
      <c r="O1435" s="4"/>
      <c r="P1435" s="4"/>
      <c r="Q1435" s="11">
        <v>0</v>
      </c>
      <c r="R1435" s="4"/>
      <c r="S1435" s="12"/>
    </row>
    <row r="1436" spans="1:19" x14ac:dyDescent="0.25">
      <c r="A1436" s="9" t="s">
        <v>485</v>
      </c>
      <c r="B1436" s="9" t="s">
        <v>485</v>
      </c>
      <c r="C1436" s="4">
        <v>201000930</v>
      </c>
      <c r="D1436" s="4"/>
      <c r="E1436" s="4" t="str">
        <f>"017582010"</f>
        <v>017582010</v>
      </c>
      <c r="F1436" s="10">
        <v>40150</v>
      </c>
      <c r="G1436" s="11">
        <v>10793.68</v>
      </c>
      <c r="H1436" s="11">
        <v>10793.68</v>
      </c>
      <c r="I1436" s="4" t="s">
        <v>366</v>
      </c>
      <c r="J1436" s="4" t="s">
        <v>367</v>
      </c>
      <c r="K1436" s="11">
        <v>0</v>
      </c>
      <c r="L1436" s="4"/>
      <c r="M1436" s="4"/>
      <c r="N1436" s="11">
        <v>0</v>
      </c>
      <c r="O1436" s="4"/>
      <c r="P1436" s="4"/>
      <c r="Q1436" s="11">
        <v>0</v>
      </c>
      <c r="R1436" s="4"/>
      <c r="S1436" s="12"/>
    </row>
    <row r="1437" spans="1:19" x14ac:dyDescent="0.25">
      <c r="A1437" s="9" t="s">
        <v>485</v>
      </c>
      <c r="B1437" s="9" t="s">
        <v>485</v>
      </c>
      <c r="C1437" s="4">
        <v>201000937</v>
      </c>
      <c r="D1437" s="4"/>
      <c r="E1437" s="4" t="str">
        <f>"017762010"</f>
        <v>017762010</v>
      </c>
      <c r="F1437" s="10">
        <v>40150</v>
      </c>
      <c r="G1437" s="11">
        <v>7695</v>
      </c>
      <c r="H1437" s="11">
        <v>7695</v>
      </c>
      <c r="I1437" s="4" t="s">
        <v>366</v>
      </c>
      <c r="J1437" s="4" t="s">
        <v>367</v>
      </c>
      <c r="K1437" s="11">
        <v>0</v>
      </c>
      <c r="L1437" s="4"/>
      <c r="M1437" s="4"/>
      <c r="N1437" s="11">
        <v>0</v>
      </c>
      <c r="O1437" s="4"/>
      <c r="P1437" s="4"/>
      <c r="Q1437" s="11">
        <v>0</v>
      </c>
      <c r="R1437" s="4"/>
      <c r="S1437" s="12"/>
    </row>
    <row r="1438" spans="1:19" x14ac:dyDescent="0.25">
      <c r="A1438" s="9" t="s">
        <v>485</v>
      </c>
      <c r="B1438" s="9" t="s">
        <v>485</v>
      </c>
      <c r="C1438" s="4">
        <v>201000945</v>
      </c>
      <c r="D1438" s="4"/>
      <c r="E1438" s="4" t="str">
        <f>"019152010"</f>
        <v>019152010</v>
      </c>
      <c r="F1438" s="10">
        <v>40156</v>
      </c>
      <c r="G1438" s="11">
        <v>4606.71</v>
      </c>
      <c r="H1438" s="11">
        <v>4606.71</v>
      </c>
      <c r="I1438" s="4" t="s">
        <v>366</v>
      </c>
      <c r="J1438" s="4" t="s">
        <v>367</v>
      </c>
      <c r="K1438" s="11">
        <v>0</v>
      </c>
      <c r="L1438" s="4"/>
      <c r="M1438" s="4"/>
      <c r="N1438" s="11">
        <v>0</v>
      </c>
      <c r="O1438" s="4"/>
      <c r="P1438" s="4"/>
      <c r="Q1438" s="11">
        <v>0</v>
      </c>
      <c r="R1438" s="4"/>
      <c r="S1438" s="12"/>
    </row>
    <row r="1439" spans="1:19" x14ac:dyDescent="0.25">
      <c r="A1439" s="9" t="s">
        <v>485</v>
      </c>
      <c r="B1439" s="9" t="s">
        <v>485</v>
      </c>
      <c r="C1439" s="4">
        <v>201000973</v>
      </c>
      <c r="D1439" s="4" t="s">
        <v>2020</v>
      </c>
      <c r="E1439" s="4" t="str">
        <f>"018412010"</f>
        <v>018412010</v>
      </c>
      <c r="F1439" s="10">
        <v>40155</v>
      </c>
      <c r="G1439" s="11">
        <v>6000</v>
      </c>
      <c r="H1439" s="11">
        <v>6000</v>
      </c>
      <c r="I1439" s="4" t="s">
        <v>366</v>
      </c>
      <c r="J1439" s="4" t="s">
        <v>367</v>
      </c>
      <c r="K1439" s="11">
        <v>0</v>
      </c>
      <c r="L1439" s="4"/>
      <c r="M1439" s="4"/>
      <c r="N1439" s="11">
        <v>0</v>
      </c>
      <c r="O1439" s="4"/>
      <c r="P1439" s="4"/>
      <c r="Q1439" s="11">
        <v>0</v>
      </c>
      <c r="R1439" s="4"/>
      <c r="S1439" s="12"/>
    </row>
    <row r="1440" spans="1:19" x14ac:dyDescent="0.25">
      <c r="A1440" s="9" t="s">
        <v>485</v>
      </c>
      <c r="B1440" s="9" t="s">
        <v>485</v>
      </c>
      <c r="C1440" s="4">
        <v>201000983</v>
      </c>
      <c r="D1440" s="4"/>
      <c r="E1440" s="4" t="str">
        <f>"020582010"</f>
        <v>020582010</v>
      </c>
      <c r="F1440" s="10">
        <v>40157</v>
      </c>
      <c r="G1440" s="11">
        <v>4586.3500000000004</v>
      </c>
      <c r="H1440" s="11">
        <v>4586.3500000000004</v>
      </c>
      <c r="I1440" s="4" t="s">
        <v>366</v>
      </c>
      <c r="J1440" s="4" t="s">
        <v>367</v>
      </c>
      <c r="K1440" s="11">
        <v>0</v>
      </c>
      <c r="L1440" s="4"/>
      <c r="M1440" s="4"/>
      <c r="N1440" s="11">
        <v>0</v>
      </c>
      <c r="O1440" s="4"/>
      <c r="P1440" s="4"/>
      <c r="Q1440" s="11">
        <v>0</v>
      </c>
      <c r="R1440" s="4"/>
      <c r="S1440" s="12"/>
    </row>
    <row r="1441" spans="1:19" x14ac:dyDescent="0.25">
      <c r="A1441" s="9" t="s">
        <v>485</v>
      </c>
      <c r="B1441" s="9" t="s">
        <v>485</v>
      </c>
      <c r="C1441" s="4">
        <v>201000987</v>
      </c>
      <c r="D1441" s="4"/>
      <c r="E1441" s="4" t="str">
        <f>"020302010"</f>
        <v>020302010</v>
      </c>
      <c r="F1441" s="10">
        <v>40157</v>
      </c>
      <c r="G1441" s="11">
        <v>4316.62</v>
      </c>
      <c r="H1441" s="11">
        <v>4316.62</v>
      </c>
      <c r="I1441" s="4" t="s">
        <v>366</v>
      </c>
      <c r="J1441" s="4" t="s">
        <v>367</v>
      </c>
      <c r="K1441" s="11">
        <v>0</v>
      </c>
      <c r="L1441" s="4"/>
      <c r="M1441" s="4"/>
      <c r="N1441" s="11">
        <v>0</v>
      </c>
      <c r="O1441" s="4"/>
      <c r="P1441" s="4"/>
      <c r="Q1441" s="11">
        <v>0</v>
      </c>
      <c r="R1441" s="4"/>
      <c r="S1441" s="12"/>
    </row>
    <row r="1442" spans="1:19" x14ac:dyDescent="0.25">
      <c r="A1442" s="9" t="s">
        <v>485</v>
      </c>
      <c r="B1442" s="9" t="s">
        <v>485</v>
      </c>
      <c r="C1442" s="4">
        <v>201000990</v>
      </c>
      <c r="D1442" s="4"/>
      <c r="E1442" s="4" t="str">
        <f>"018732010"</f>
        <v>018732010</v>
      </c>
      <c r="F1442" s="10">
        <v>40154</v>
      </c>
      <c r="G1442" s="11">
        <v>3634.48</v>
      </c>
      <c r="H1442" s="11">
        <v>3634.48</v>
      </c>
      <c r="I1442" s="4" t="s">
        <v>366</v>
      </c>
      <c r="J1442" s="4" t="s">
        <v>367</v>
      </c>
      <c r="K1442" s="11">
        <v>0</v>
      </c>
      <c r="L1442" s="4"/>
      <c r="M1442" s="4"/>
      <c r="N1442" s="11">
        <v>0</v>
      </c>
      <c r="O1442" s="4"/>
      <c r="P1442" s="4"/>
      <c r="Q1442" s="11">
        <v>0</v>
      </c>
      <c r="R1442" s="4"/>
      <c r="S1442" s="12"/>
    </row>
    <row r="1443" spans="1:19" x14ac:dyDescent="0.25">
      <c r="A1443" s="9" t="s">
        <v>485</v>
      </c>
      <c r="B1443" s="9" t="s">
        <v>485</v>
      </c>
      <c r="C1443" s="4">
        <v>201000992</v>
      </c>
      <c r="D1443" s="4"/>
      <c r="E1443" s="4" t="str">
        <f>"019132010"</f>
        <v>019132010</v>
      </c>
      <c r="F1443" s="10">
        <v>40156</v>
      </c>
      <c r="G1443" s="11">
        <v>13786.68</v>
      </c>
      <c r="H1443" s="11">
        <v>13786.68</v>
      </c>
      <c r="I1443" s="4" t="s">
        <v>366</v>
      </c>
      <c r="J1443" s="4" t="s">
        <v>367</v>
      </c>
      <c r="K1443" s="11">
        <v>0</v>
      </c>
      <c r="L1443" s="4"/>
      <c r="M1443" s="4"/>
      <c r="N1443" s="11">
        <v>0</v>
      </c>
      <c r="O1443" s="4"/>
      <c r="P1443" s="4"/>
      <c r="Q1443" s="11">
        <v>0</v>
      </c>
      <c r="R1443" s="4"/>
      <c r="S1443" s="12"/>
    </row>
    <row r="1444" spans="1:19" x14ac:dyDescent="0.25">
      <c r="A1444" s="9" t="s">
        <v>485</v>
      </c>
      <c r="B1444" s="9" t="s">
        <v>485</v>
      </c>
      <c r="C1444" s="4">
        <v>201001019</v>
      </c>
      <c r="D1444" s="4"/>
      <c r="E1444" s="4" t="str">
        <f>"019452010"</f>
        <v>019452010</v>
      </c>
      <c r="F1444" s="10">
        <v>40156</v>
      </c>
      <c r="G1444" s="11">
        <v>25000</v>
      </c>
      <c r="H1444" s="11">
        <v>25000</v>
      </c>
      <c r="I1444" s="4" t="s">
        <v>366</v>
      </c>
      <c r="J1444" s="4" t="s">
        <v>367</v>
      </c>
      <c r="K1444" s="11">
        <v>0</v>
      </c>
      <c r="L1444" s="4"/>
      <c r="M1444" s="4"/>
      <c r="N1444" s="11">
        <v>0</v>
      </c>
      <c r="O1444" s="4"/>
      <c r="P1444" s="4"/>
      <c r="Q1444" s="11">
        <v>0</v>
      </c>
      <c r="R1444" s="4"/>
      <c r="S1444" s="12"/>
    </row>
    <row r="1445" spans="1:19" x14ac:dyDescent="0.25">
      <c r="A1445" s="9" t="s">
        <v>485</v>
      </c>
      <c r="B1445" s="9" t="s">
        <v>485</v>
      </c>
      <c r="C1445" s="4">
        <v>201001021</v>
      </c>
      <c r="D1445" s="4"/>
      <c r="E1445" s="4" t="str">
        <f>"019682010"</f>
        <v>019682010</v>
      </c>
      <c r="F1445" s="10">
        <v>40157</v>
      </c>
      <c r="G1445" s="11">
        <v>8274</v>
      </c>
      <c r="H1445" s="11">
        <v>8274</v>
      </c>
      <c r="I1445" s="4" t="s">
        <v>366</v>
      </c>
      <c r="J1445" s="4" t="s">
        <v>367</v>
      </c>
      <c r="K1445" s="11">
        <v>0</v>
      </c>
      <c r="L1445" s="4"/>
      <c r="M1445" s="4"/>
      <c r="N1445" s="11">
        <v>0</v>
      </c>
      <c r="O1445" s="4"/>
      <c r="P1445" s="4"/>
      <c r="Q1445" s="11">
        <v>0</v>
      </c>
      <c r="R1445" s="4"/>
      <c r="S1445" s="12"/>
    </row>
    <row r="1446" spans="1:19" x14ac:dyDescent="0.25">
      <c r="A1446" s="9" t="s">
        <v>485</v>
      </c>
      <c r="B1446" s="9" t="s">
        <v>485</v>
      </c>
      <c r="C1446" s="4">
        <v>201001039</v>
      </c>
      <c r="D1446" s="4"/>
      <c r="E1446" s="4" t="str">
        <f>"020862010"</f>
        <v>020862010</v>
      </c>
      <c r="F1446" s="10">
        <v>40162</v>
      </c>
      <c r="G1446" s="11">
        <v>5282.27</v>
      </c>
      <c r="H1446" s="11">
        <v>5282.27</v>
      </c>
      <c r="I1446" s="4" t="s">
        <v>366</v>
      </c>
      <c r="J1446" s="4" t="s">
        <v>367</v>
      </c>
      <c r="K1446" s="11">
        <v>0</v>
      </c>
      <c r="L1446" s="4"/>
      <c r="M1446" s="4"/>
      <c r="N1446" s="11">
        <v>0</v>
      </c>
      <c r="O1446" s="4"/>
      <c r="P1446" s="4"/>
      <c r="Q1446" s="11">
        <v>0</v>
      </c>
      <c r="R1446" s="4"/>
      <c r="S1446" s="12"/>
    </row>
    <row r="1447" spans="1:19" x14ac:dyDescent="0.25">
      <c r="A1447" s="9" t="s">
        <v>485</v>
      </c>
      <c r="B1447" s="9" t="s">
        <v>485</v>
      </c>
      <c r="C1447" s="4">
        <v>201001046</v>
      </c>
      <c r="D1447" s="4"/>
      <c r="E1447" s="4" t="str">
        <f>"020282010"</f>
        <v>020282010</v>
      </c>
      <c r="F1447" s="10">
        <v>40157</v>
      </c>
      <c r="G1447" s="11">
        <v>4550</v>
      </c>
      <c r="H1447" s="11">
        <v>4550</v>
      </c>
      <c r="I1447" s="4" t="s">
        <v>366</v>
      </c>
      <c r="J1447" s="4" t="s">
        <v>367</v>
      </c>
      <c r="K1447" s="11">
        <v>0</v>
      </c>
      <c r="L1447" s="4"/>
      <c r="M1447" s="4"/>
      <c r="N1447" s="11">
        <v>0</v>
      </c>
      <c r="O1447" s="4"/>
      <c r="P1447" s="4"/>
      <c r="Q1447" s="11">
        <v>0</v>
      </c>
      <c r="R1447" s="4"/>
      <c r="S1447" s="12"/>
    </row>
    <row r="1448" spans="1:19" x14ac:dyDescent="0.25">
      <c r="A1448" s="9" t="s">
        <v>485</v>
      </c>
      <c r="B1448" s="9" t="s">
        <v>485</v>
      </c>
      <c r="C1448" s="4">
        <v>201001047</v>
      </c>
      <c r="D1448" s="4" t="s">
        <v>2021</v>
      </c>
      <c r="E1448" s="4" t="str">
        <f>"019782010"</f>
        <v>019782010</v>
      </c>
      <c r="F1448" s="10">
        <v>40157</v>
      </c>
      <c r="G1448" s="11">
        <v>500000</v>
      </c>
      <c r="H1448" s="11">
        <v>500000</v>
      </c>
      <c r="I1448" s="4" t="s">
        <v>687</v>
      </c>
      <c r="J1448" s="4" t="s">
        <v>688</v>
      </c>
      <c r="K1448" s="11">
        <v>0</v>
      </c>
      <c r="L1448" s="4"/>
      <c r="M1448" s="4"/>
      <c r="N1448" s="11">
        <v>0</v>
      </c>
      <c r="O1448" s="4"/>
      <c r="P1448" s="4"/>
      <c r="Q1448" s="11">
        <v>0</v>
      </c>
      <c r="R1448" s="4"/>
      <c r="S1448" s="12"/>
    </row>
    <row r="1449" spans="1:19" x14ac:dyDescent="0.25">
      <c r="A1449" s="9" t="s">
        <v>485</v>
      </c>
      <c r="B1449" s="9" t="s">
        <v>291</v>
      </c>
      <c r="C1449" s="4">
        <v>201001060</v>
      </c>
      <c r="D1449" s="4" t="s">
        <v>2022</v>
      </c>
      <c r="E1449" s="4" t="str">
        <f>"020202010"</f>
        <v>020202010</v>
      </c>
      <c r="F1449" s="10">
        <v>40157</v>
      </c>
      <c r="G1449" s="11">
        <v>175000</v>
      </c>
      <c r="H1449" s="11">
        <v>175000</v>
      </c>
      <c r="I1449" s="4" t="s">
        <v>687</v>
      </c>
      <c r="J1449" s="4" t="s">
        <v>688</v>
      </c>
      <c r="K1449" s="11">
        <v>0</v>
      </c>
      <c r="L1449" s="4"/>
      <c r="M1449" s="4"/>
      <c r="N1449" s="11">
        <v>0</v>
      </c>
      <c r="O1449" s="4"/>
      <c r="P1449" s="4"/>
      <c r="Q1449" s="11">
        <v>0</v>
      </c>
      <c r="R1449" s="4"/>
      <c r="S1449" s="12"/>
    </row>
    <row r="1450" spans="1:19" x14ac:dyDescent="0.25">
      <c r="A1450" s="9" t="s">
        <v>485</v>
      </c>
      <c r="B1450" s="9" t="s">
        <v>485</v>
      </c>
      <c r="C1450" s="4">
        <v>201001075</v>
      </c>
      <c r="D1450" s="4"/>
      <c r="E1450" s="4" t="str">
        <f>"021752010"</f>
        <v>021752010</v>
      </c>
      <c r="F1450" s="10">
        <v>40161</v>
      </c>
      <c r="G1450" s="11">
        <v>4936.8900000000003</v>
      </c>
      <c r="H1450" s="11">
        <v>4936.8900000000003</v>
      </c>
      <c r="I1450" s="4" t="s">
        <v>366</v>
      </c>
      <c r="J1450" s="4" t="s">
        <v>367</v>
      </c>
      <c r="K1450" s="11">
        <v>0</v>
      </c>
      <c r="L1450" s="4"/>
      <c r="M1450" s="4"/>
      <c r="N1450" s="11">
        <v>0</v>
      </c>
      <c r="O1450" s="4"/>
      <c r="P1450" s="4"/>
      <c r="Q1450" s="11">
        <v>0</v>
      </c>
      <c r="R1450" s="4"/>
      <c r="S1450" s="12"/>
    </row>
    <row r="1451" spans="1:19" x14ac:dyDescent="0.25">
      <c r="A1451" s="9" t="s">
        <v>485</v>
      </c>
      <c r="B1451" s="9" t="s">
        <v>485</v>
      </c>
      <c r="C1451" s="4">
        <v>201001076</v>
      </c>
      <c r="D1451" s="4"/>
      <c r="E1451" s="4" t="str">
        <f>"020742010"</f>
        <v>020742010</v>
      </c>
      <c r="F1451" s="10">
        <v>40162</v>
      </c>
      <c r="G1451" s="11">
        <v>6495.63</v>
      </c>
      <c r="H1451" s="11">
        <v>6495.63</v>
      </c>
      <c r="I1451" s="4" t="s">
        <v>366</v>
      </c>
      <c r="J1451" s="4" t="s">
        <v>367</v>
      </c>
      <c r="K1451" s="11">
        <v>0</v>
      </c>
      <c r="L1451" s="4"/>
      <c r="M1451" s="4"/>
      <c r="N1451" s="11">
        <v>0</v>
      </c>
      <c r="O1451" s="4"/>
      <c r="P1451" s="4"/>
      <c r="Q1451" s="11">
        <v>0</v>
      </c>
      <c r="R1451" s="4"/>
      <c r="S1451" s="12"/>
    </row>
    <row r="1452" spans="1:19" x14ac:dyDescent="0.25">
      <c r="A1452" s="9" t="s">
        <v>485</v>
      </c>
      <c r="B1452" s="9" t="s">
        <v>485</v>
      </c>
      <c r="C1452" s="4">
        <v>201001080</v>
      </c>
      <c r="D1452" s="4"/>
      <c r="E1452" s="4" t="str">
        <f>"020702010"</f>
        <v>020702010</v>
      </c>
      <c r="F1452" s="10">
        <v>40162</v>
      </c>
      <c r="G1452" s="11">
        <v>7500</v>
      </c>
      <c r="H1452" s="11">
        <v>7500</v>
      </c>
      <c r="I1452" s="4" t="s">
        <v>366</v>
      </c>
      <c r="J1452" s="4" t="s">
        <v>367</v>
      </c>
      <c r="K1452" s="11">
        <v>0</v>
      </c>
      <c r="L1452" s="4"/>
      <c r="M1452" s="4"/>
      <c r="N1452" s="11">
        <v>0</v>
      </c>
      <c r="O1452" s="4"/>
      <c r="P1452" s="4"/>
      <c r="Q1452" s="11">
        <v>0</v>
      </c>
      <c r="R1452" s="4"/>
      <c r="S1452" s="12"/>
    </row>
    <row r="1453" spans="1:19" x14ac:dyDescent="0.25">
      <c r="A1453" s="9" t="s">
        <v>485</v>
      </c>
      <c r="B1453" s="9" t="s">
        <v>485</v>
      </c>
      <c r="C1453" s="4">
        <v>201001087</v>
      </c>
      <c r="D1453" s="4"/>
      <c r="E1453" s="4" t="str">
        <f>"020602010"</f>
        <v>020602010</v>
      </c>
      <c r="F1453" s="10">
        <v>40162</v>
      </c>
      <c r="G1453" s="11">
        <v>4451.32</v>
      </c>
      <c r="H1453" s="11">
        <v>4451.32</v>
      </c>
      <c r="I1453" s="4" t="s">
        <v>366</v>
      </c>
      <c r="J1453" s="4" t="s">
        <v>367</v>
      </c>
      <c r="K1453" s="11">
        <v>0</v>
      </c>
      <c r="L1453" s="4"/>
      <c r="M1453" s="4"/>
      <c r="N1453" s="11">
        <v>0</v>
      </c>
      <c r="O1453" s="4"/>
      <c r="P1453" s="4"/>
      <c r="Q1453" s="11">
        <v>0</v>
      </c>
      <c r="R1453" s="4"/>
      <c r="S1453" s="12"/>
    </row>
    <row r="1454" spans="1:19" x14ac:dyDescent="0.25">
      <c r="A1454" s="9" t="s">
        <v>485</v>
      </c>
      <c r="B1454" s="9" t="s">
        <v>485</v>
      </c>
      <c r="C1454" s="4">
        <v>201001088</v>
      </c>
      <c r="D1454" s="4"/>
      <c r="E1454" s="4" t="str">
        <f>"021162010"</f>
        <v>021162010</v>
      </c>
      <c r="F1454" s="10">
        <v>40158</v>
      </c>
      <c r="G1454" s="11">
        <v>3417.11</v>
      </c>
      <c r="H1454" s="11">
        <v>3417.11</v>
      </c>
      <c r="I1454" s="4" t="s">
        <v>366</v>
      </c>
      <c r="J1454" s="4" t="s">
        <v>367</v>
      </c>
      <c r="K1454" s="11">
        <v>0</v>
      </c>
      <c r="L1454" s="4"/>
      <c r="M1454" s="4"/>
      <c r="N1454" s="11">
        <v>0</v>
      </c>
      <c r="O1454" s="4"/>
      <c r="P1454" s="4"/>
      <c r="Q1454" s="11">
        <v>0</v>
      </c>
      <c r="R1454" s="4"/>
      <c r="S1454" s="12"/>
    </row>
    <row r="1455" spans="1:19" x14ac:dyDescent="0.25">
      <c r="A1455" s="9" t="s">
        <v>485</v>
      </c>
      <c r="B1455" s="9" t="s">
        <v>485</v>
      </c>
      <c r="C1455" s="4">
        <v>201001096</v>
      </c>
      <c r="D1455" s="4"/>
      <c r="E1455" s="4" t="str">
        <f>"021192010"</f>
        <v>021192010</v>
      </c>
      <c r="F1455" s="10">
        <v>40158</v>
      </c>
      <c r="G1455" s="11">
        <v>7071.6</v>
      </c>
      <c r="H1455" s="11">
        <v>7071.6</v>
      </c>
      <c r="I1455" s="4" t="s">
        <v>366</v>
      </c>
      <c r="J1455" s="4" t="s">
        <v>367</v>
      </c>
      <c r="K1455" s="11">
        <v>0</v>
      </c>
      <c r="L1455" s="4"/>
      <c r="M1455" s="4"/>
      <c r="N1455" s="11">
        <v>0</v>
      </c>
      <c r="O1455" s="4"/>
      <c r="P1455" s="4"/>
      <c r="Q1455" s="11">
        <v>0</v>
      </c>
      <c r="R1455" s="4"/>
      <c r="S1455" s="12"/>
    </row>
    <row r="1456" spans="1:19" x14ac:dyDescent="0.25">
      <c r="A1456" s="9" t="s">
        <v>485</v>
      </c>
      <c r="B1456" s="9" t="s">
        <v>485</v>
      </c>
      <c r="C1456" s="4">
        <v>201001099</v>
      </c>
      <c r="D1456" s="4"/>
      <c r="E1456" s="4" t="str">
        <f>"021042010"</f>
        <v>021042010</v>
      </c>
      <c r="F1456" s="10">
        <v>40158</v>
      </c>
      <c r="G1456" s="11">
        <v>6615.94</v>
      </c>
      <c r="H1456" s="11">
        <v>6615.94</v>
      </c>
      <c r="I1456" s="4" t="s">
        <v>366</v>
      </c>
      <c r="J1456" s="4" t="s">
        <v>367</v>
      </c>
      <c r="K1456" s="11">
        <v>0</v>
      </c>
      <c r="L1456" s="4"/>
      <c r="M1456" s="4"/>
      <c r="N1456" s="11">
        <v>0</v>
      </c>
      <c r="O1456" s="4"/>
      <c r="P1456" s="4"/>
      <c r="Q1456" s="11">
        <v>0</v>
      </c>
      <c r="R1456" s="4"/>
      <c r="S1456" s="12"/>
    </row>
    <row r="1457" spans="1:19" x14ac:dyDescent="0.25">
      <c r="A1457" s="9" t="s">
        <v>485</v>
      </c>
      <c r="B1457" s="9" t="s">
        <v>485</v>
      </c>
      <c r="C1457" s="4">
        <v>201001113</v>
      </c>
      <c r="D1457" s="4"/>
      <c r="E1457" s="4" t="str">
        <f>"021712010"</f>
        <v>021712010</v>
      </c>
      <c r="F1457" s="10">
        <v>40161</v>
      </c>
      <c r="G1457" s="11">
        <v>3174.05</v>
      </c>
      <c r="H1457" s="11">
        <v>3174.05</v>
      </c>
      <c r="I1457" s="4" t="s">
        <v>366</v>
      </c>
      <c r="J1457" s="4" t="s">
        <v>367</v>
      </c>
      <c r="K1457" s="11">
        <v>0</v>
      </c>
      <c r="L1457" s="4"/>
      <c r="M1457" s="4"/>
      <c r="N1457" s="11">
        <v>0</v>
      </c>
      <c r="O1457" s="4"/>
      <c r="P1457" s="4"/>
      <c r="Q1457" s="11">
        <v>0</v>
      </c>
      <c r="R1457" s="4"/>
      <c r="S1457" s="12"/>
    </row>
    <row r="1458" spans="1:19" x14ac:dyDescent="0.25">
      <c r="A1458" s="9" t="s">
        <v>485</v>
      </c>
      <c r="B1458" s="9" t="s">
        <v>485</v>
      </c>
      <c r="C1458" s="4">
        <v>201001116</v>
      </c>
      <c r="D1458" s="4"/>
      <c r="E1458" s="4" t="str">
        <f>"024692010"</f>
        <v>024692010</v>
      </c>
      <c r="F1458" s="10">
        <v>40177</v>
      </c>
      <c r="G1458" s="11">
        <v>2663.35</v>
      </c>
      <c r="H1458" s="11">
        <v>2663.35</v>
      </c>
      <c r="I1458" s="4" t="s">
        <v>366</v>
      </c>
      <c r="J1458" s="4" t="s">
        <v>367</v>
      </c>
      <c r="K1458" s="11">
        <v>0</v>
      </c>
      <c r="L1458" s="4"/>
      <c r="M1458" s="4"/>
      <c r="N1458" s="11">
        <v>0</v>
      </c>
      <c r="O1458" s="4"/>
      <c r="P1458" s="4"/>
      <c r="Q1458" s="11">
        <v>0</v>
      </c>
      <c r="R1458" s="4"/>
      <c r="S1458" s="12"/>
    </row>
    <row r="1459" spans="1:19" x14ac:dyDescent="0.25">
      <c r="A1459" s="9" t="s">
        <v>485</v>
      </c>
      <c r="B1459" s="9" t="s">
        <v>485</v>
      </c>
      <c r="C1459" s="4">
        <v>201001117</v>
      </c>
      <c r="D1459" s="4"/>
      <c r="E1459" s="4" t="str">
        <f>"021892010"</f>
        <v>021892010</v>
      </c>
      <c r="F1459" s="10">
        <v>40161</v>
      </c>
      <c r="G1459" s="11">
        <v>2912.94</v>
      </c>
      <c r="H1459" s="11">
        <v>2912.94</v>
      </c>
      <c r="I1459" s="4" t="s">
        <v>366</v>
      </c>
      <c r="J1459" s="4" t="s">
        <v>367</v>
      </c>
      <c r="K1459" s="11">
        <v>0</v>
      </c>
      <c r="L1459" s="4"/>
      <c r="M1459" s="4"/>
      <c r="N1459" s="11">
        <v>0</v>
      </c>
      <c r="O1459" s="4"/>
      <c r="P1459" s="4"/>
      <c r="Q1459" s="11">
        <v>0</v>
      </c>
      <c r="R1459" s="4"/>
      <c r="S1459" s="12"/>
    </row>
    <row r="1460" spans="1:19" x14ac:dyDescent="0.25">
      <c r="A1460" s="9" t="s">
        <v>485</v>
      </c>
      <c r="B1460" s="9" t="s">
        <v>485</v>
      </c>
      <c r="C1460" s="4">
        <v>201001143</v>
      </c>
      <c r="D1460" s="4" t="s">
        <v>2023</v>
      </c>
      <c r="E1460" s="4" t="str">
        <f>"022192010"</f>
        <v>022192010</v>
      </c>
      <c r="F1460" s="10">
        <v>40164</v>
      </c>
      <c r="G1460" s="11">
        <v>12500</v>
      </c>
      <c r="H1460" s="11">
        <v>12500</v>
      </c>
      <c r="I1460" s="4" t="s">
        <v>366</v>
      </c>
      <c r="J1460" s="4" t="s">
        <v>367</v>
      </c>
      <c r="K1460" s="11">
        <v>0</v>
      </c>
      <c r="L1460" s="4"/>
      <c r="M1460" s="4"/>
      <c r="N1460" s="11">
        <v>0</v>
      </c>
      <c r="O1460" s="4"/>
      <c r="P1460" s="4"/>
      <c r="Q1460" s="11">
        <v>0</v>
      </c>
      <c r="R1460" s="4"/>
      <c r="S1460" s="12"/>
    </row>
    <row r="1461" spans="1:19" x14ac:dyDescent="0.25">
      <c r="A1461" s="9" t="s">
        <v>485</v>
      </c>
      <c r="B1461" s="9" t="s">
        <v>485</v>
      </c>
      <c r="C1461" s="4">
        <v>201001145</v>
      </c>
      <c r="D1461" s="4"/>
      <c r="E1461" s="4" t="str">
        <f>"022172010"</f>
        <v>022172010</v>
      </c>
      <c r="F1461" s="10">
        <v>40161</v>
      </c>
      <c r="G1461" s="11">
        <v>2712.47</v>
      </c>
      <c r="H1461" s="11">
        <v>2712.47</v>
      </c>
      <c r="I1461" s="4" t="s">
        <v>366</v>
      </c>
      <c r="J1461" s="4" t="s">
        <v>367</v>
      </c>
      <c r="K1461" s="11">
        <v>0</v>
      </c>
      <c r="L1461" s="4"/>
      <c r="M1461" s="4"/>
      <c r="N1461" s="11">
        <v>0</v>
      </c>
      <c r="O1461" s="4"/>
      <c r="P1461" s="4"/>
      <c r="Q1461" s="11">
        <v>0</v>
      </c>
      <c r="R1461" s="4"/>
      <c r="S1461" s="12"/>
    </row>
    <row r="1462" spans="1:19" x14ac:dyDescent="0.25">
      <c r="A1462" s="9" t="s">
        <v>485</v>
      </c>
      <c r="B1462" s="9" t="s">
        <v>485</v>
      </c>
      <c r="C1462" s="4">
        <v>201001149</v>
      </c>
      <c r="D1462" s="4"/>
      <c r="E1462" s="4" t="str">
        <f>"022112010"</f>
        <v>022112010</v>
      </c>
      <c r="F1462" s="10">
        <v>40164</v>
      </c>
      <c r="G1462" s="11">
        <v>2925.8</v>
      </c>
      <c r="H1462" s="11">
        <v>2925.8</v>
      </c>
      <c r="I1462" s="4" t="s">
        <v>366</v>
      </c>
      <c r="J1462" s="4" t="s">
        <v>367</v>
      </c>
      <c r="K1462" s="11">
        <v>0</v>
      </c>
      <c r="L1462" s="4"/>
      <c r="M1462" s="4"/>
      <c r="N1462" s="11">
        <v>0</v>
      </c>
      <c r="O1462" s="4"/>
      <c r="P1462" s="4"/>
      <c r="Q1462" s="11">
        <v>0</v>
      </c>
      <c r="R1462" s="4"/>
      <c r="S1462" s="12"/>
    </row>
    <row r="1463" spans="1:19" x14ac:dyDescent="0.25">
      <c r="A1463" s="9" t="s">
        <v>485</v>
      </c>
      <c r="B1463" s="9" t="s">
        <v>485</v>
      </c>
      <c r="C1463" s="4">
        <v>201001150</v>
      </c>
      <c r="D1463" s="4"/>
      <c r="E1463" s="4" t="str">
        <f>"022952010"</f>
        <v>022952010</v>
      </c>
      <c r="F1463" s="10">
        <v>40165</v>
      </c>
      <c r="G1463" s="11">
        <v>3000</v>
      </c>
      <c r="H1463" s="11">
        <v>3000</v>
      </c>
      <c r="I1463" s="4" t="s">
        <v>366</v>
      </c>
      <c r="J1463" s="4" t="s">
        <v>367</v>
      </c>
      <c r="K1463" s="11">
        <v>0</v>
      </c>
      <c r="L1463" s="4"/>
      <c r="M1463" s="4"/>
      <c r="N1463" s="11">
        <v>0</v>
      </c>
      <c r="O1463" s="4"/>
      <c r="P1463" s="4"/>
      <c r="Q1463" s="11">
        <v>0</v>
      </c>
      <c r="R1463" s="4"/>
      <c r="S1463" s="12"/>
    </row>
    <row r="1464" spans="1:19" x14ac:dyDescent="0.25">
      <c r="A1464" s="9" t="s">
        <v>485</v>
      </c>
      <c r="B1464" s="9" t="s">
        <v>485</v>
      </c>
      <c r="C1464" s="4">
        <v>201001152</v>
      </c>
      <c r="D1464" s="4"/>
      <c r="E1464" s="4" t="str">
        <f>"022312010"</f>
        <v>022312010</v>
      </c>
      <c r="F1464" s="10">
        <v>40164</v>
      </c>
      <c r="G1464" s="11">
        <v>7938.56</v>
      </c>
      <c r="H1464" s="11">
        <v>7938.56</v>
      </c>
      <c r="I1464" s="4" t="s">
        <v>366</v>
      </c>
      <c r="J1464" s="4" t="s">
        <v>367</v>
      </c>
      <c r="K1464" s="11">
        <v>0</v>
      </c>
      <c r="L1464" s="4"/>
      <c r="M1464" s="4"/>
      <c r="N1464" s="11">
        <v>0</v>
      </c>
      <c r="O1464" s="4"/>
      <c r="P1464" s="4"/>
      <c r="Q1464" s="11">
        <v>0</v>
      </c>
      <c r="R1464" s="4"/>
      <c r="S1464" s="12"/>
    </row>
    <row r="1465" spans="1:19" x14ac:dyDescent="0.25">
      <c r="A1465" s="9" t="s">
        <v>485</v>
      </c>
      <c r="B1465" s="9" t="s">
        <v>485</v>
      </c>
      <c r="C1465" s="4">
        <v>201001158</v>
      </c>
      <c r="D1465" s="4" t="s">
        <v>1996</v>
      </c>
      <c r="E1465" s="4" t="str">
        <f>"023172010"</f>
        <v>023172010</v>
      </c>
      <c r="F1465" s="10">
        <v>40165</v>
      </c>
      <c r="G1465" s="11">
        <v>80000</v>
      </c>
      <c r="H1465" s="11">
        <v>80000</v>
      </c>
      <c r="I1465" s="4" t="s">
        <v>366</v>
      </c>
      <c r="J1465" s="4" t="s">
        <v>367</v>
      </c>
      <c r="K1465" s="11">
        <v>0</v>
      </c>
      <c r="L1465" s="4"/>
      <c r="M1465" s="4"/>
      <c r="N1465" s="11">
        <v>0</v>
      </c>
      <c r="O1465" s="4"/>
      <c r="P1465" s="4"/>
      <c r="Q1465" s="11">
        <v>0</v>
      </c>
      <c r="R1465" s="4"/>
      <c r="S1465" s="12"/>
    </row>
    <row r="1466" spans="1:19" x14ac:dyDescent="0.25">
      <c r="A1466" s="9" t="s">
        <v>485</v>
      </c>
      <c r="B1466" s="9" t="s">
        <v>485</v>
      </c>
      <c r="C1466" s="4">
        <v>201001167</v>
      </c>
      <c r="D1466" s="4" t="s">
        <v>2024</v>
      </c>
      <c r="E1466" s="4" t="str">
        <f>"023672010"</f>
        <v>023672010</v>
      </c>
      <c r="F1466" s="10">
        <v>40165</v>
      </c>
      <c r="G1466" s="11">
        <v>175000</v>
      </c>
      <c r="H1466" s="11">
        <v>175000</v>
      </c>
      <c r="I1466" s="4" t="s">
        <v>687</v>
      </c>
      <c r="J1466" s="4" t="s">
        <v>688</v>
      </c>
      <c r="K1466" s="11">
        <v>0</v>
      </c>
      <c r="L1466" s="4"/>
      <c r="M1466" s="4"/>
      <c r="N1466" s="11">
        <v>0</v>
      </c>
      <c r="O1466" s="4"/>
      <c r="P1466" s="4"/>
      <c r="Q1466" s="11">
        <v>0</v>
      </c>
      <c r="R1466" s="4"/>
      <c r="S1466" s="12"/>
    </row>
    <row r="1467" spans="1:19" x14ac:dyDescent="0.25">
      <c r="A1467" s="9" t="s">
        <v>485</v>
      </c>
      <c r="B1467" s="9" t="s">
        <v>485</v>
      </c>
      <c r="C1467" s="4">
        <v>201001196</v>
      </c>
      <c r="D1467" s="4" t="s">
        <v>2025</v>
      </c>
      <c r="E1467" s="4" t="str">
        <f>"023552010"</f>
        <v>023552010</v>
      </c>
      <c r="F1467" s="10">
        <v>40165</v>
      </c>
      <c r="G1467" s="11">
        <v>130000</v>
      </c>
      <c r="H1467" s="11">
        <v>130000</v>
      </c>
      <c r="I1467" s="4" t="s">
        <v>687</v>
      </c>
      <c r="J1467" s="4" t="s">
        <v>688</v>
      </c>
      <c r="K1467" s="11">
        <v>0</v>
      </c>
      <c r="L1467" s="4"/>
      <c r="M1467" s="4"/>
      <c r="N1467" s="11">
        <v>0</v>
      </c>
      <c r="O1467" s="4"/>
      <c r="P1467" s="4"/>
      <c r="Q1467" s="11">
        <v>0</v>
      </c>
      <c r="R1467" s="4"/>
      <c r="S1467" s="12"/>
    </row>
    <row r="1468" spans="1:19" x14ac:dyDescent="0.25">
      <c r="A1468" s="9" t="s">
        <v>485</v>
      </c>
      <c r="B1468" s="9" t="s">
        <v>485</v>
      </c>
      <c r="C1468" s="4">
        <v>201001200</v>
      </c>
      <c r="D1468" s="4" t="s">
        <v>2026</v>
      </c>
      <c r="E1468" s="4" t="str">
        <f>"024032010"</f>
        <v>024032010</v>
      </c>
      <c r="F1468" s="10">
        <v>40170</v>
      </c>
      <c r="G1468" s="11">
        <v>45000</v>
      </c>
      <c r="H1468" s="11">
        <v>36000</v>
      </c>
      <c r="I1468" s="4" t="s">
        <v>366</v>
      </c>
      <c r="J1468" s="4" t="s">
        <v>367</v>
      </c>
      <c r="K1468" s="11">
        <v>9000</v>
      </c>
      <c r="L1468" s="4" t="s">
        <v>366</v>
      </c>
      <c r="M1468" s="4" t="s">
        <v>367</v>
      </c>
      <c r="N1468" s="11">
        <v>0</v>
      </c>
      <c r="O1468" s="4"/>
      <c r="P1468" s="4"/>
      <c r="Q1468" s="11">
        <v>0</v>
      </c>
      <c r="R1468" s="4"/>
      <c r="S1468" s="12"/>
    </row>
    <row r="1469" spans="1:19" x14ac:dyDescent="0.25">
      <c r="A1469" s="9" t="s">
        <v>485</v>
      </c>
      <c r="B1469" s="9" t="s">
        <v>485</v>
      </c>
      <c r="C1469" s="4">
        <v>201001201</v>
      </c>
      <c r="D1469" s="4"/>
      <c r="E1469" s="4" t="str">
        <f>"023412010"</f>
        <v>023412010</v>
      </c>
      <c r="F1469" s="10">
        <v>40165</v>
      </c>
      <c r="G1469" s="11">
        <v>6022.68</v>
      </c>
      <c r="H1469" s="11">
        <v>6022.68</v>
      </c>
      <c r="I1469" s="4" t="s">
        <v>366</v>
      </c>
      <c r="J1469" s="4" t="s">
        <v>367</v>
      </c>
      <c r="K1469" s="11">
        <v>0</v>
      </c>
      <c r="L1469" s="4"/>
      <c r="M1469" s="4"/>
      <c r="N1469" s="11">
        <v>0</v>
      </c>
      <c r="O1469" s="4"/>
      <c r="P1469" s="4"/>
      <c r="Q1469" s="11">
        <v>0</v>
      </c>
      <c r="R1469" s="4"/>
      <c r="S1469" s="12"/>
    </row>
    <row r="1470" spans="1:19" x14ac:dyDescent="0.25">
      <c r="A1470" s="9" t="s">
        <v>485</v>
      </c>
      <c r="B1470" s="9" t="s">
        <v>485</v>
      </c>
      <c r="C1470" s="4">
        <v>201001209</v>
      </c>
      <c r="D1470" s="4"/>
      <c r="E1470" s="4" t="str">
        <f>"023652010"</f>
        <v>023652010</v>
      </c>
      <c r="F1470" s="10">
        <v>40165</v>
      </c>
      <c r="G1470" s="11">
        <v>3198.63</v>
      </c>
      <c r="H1470" s="11">
        <v>3198.63</v>
      </c>
      <c r="I1470" s="4" t="s">
        <v>366</v>
      </c>
      <c r="J1470" s="4" t="s">
        <v>367</v>
      </c>
      <c r="K1470" s="11">
        <v>0</v>
      </c>
      <c r="L1470" s="4"/>
      <c r="M1470" s="4"/>
      <c r="N1470" s="11">
        <v>0</v>
      </c>
      <c r="O1470" s="4"/>
      <c r="P1470" s="4"/>
      <c r="Q1470" s="11">
        <v>0</v>
      </c>
      <c r="R1470" s="4"/>
      <c r="S1470" s="12"/>
    </row>
    <row r="1471" spans="1:19" x14ac:dyDescent="0.25">
      <c r="A1471" s="9" t="s">
        <v>485</v>
      </c>
      <c r="B1471" s="9" t="s">
        <v>485</v>
      </c>
      <c r="C1471" s="4">
        <v>201001213</v>
      </c>
      <c r="D1471" s="4"/>
      <c r="E1471" s="4" t="str">
        <f>"023692010"</f>
        <v>023692010</v>
      </c>
      <c r="F1471" s="10">
        <v>40165</v>
      </c>
      <c r="G1471" s="11">
        <v>3442.24</v>
      </c>
      <c r="H1471" s="11">
        <v>3442.24</v>
      </c>
      <c r="I1471" s="4" t="s">
        <v>366</v>
      </c>
      <c r="J1471" s="4" t="s">
        <v>367</v>
      </c>
      <c r="K1471" s="11">
        <v>0</v>
      </c>
      <c r="L1471" s="4"/>
      <c r="M1471" s="4"/>
      <c r="N1471" s="11">
        <v>0</v>
      </c>
      <c r="O1471" s="4"/>
      <c r="P1471" s="4"/>
      <c r="Q1471" s="11">
        <v>0</v>
      </c>
      <c r="R1471" s="4"/>
      <c r="S1471" s="12"/>
    </row>
    <row r="1472" spans="1:19" x14ac:dyDescent="0.25">
      <c r="A1472" s="9" t="s">
        <v>485</v>
      </c>
      <c r="B1472" s="9" t="s">
        <v>485</v>
      </c>
      <c r="C1472" s="4">
        <v>201001218</v>
      </c>
      <c r="D1472" s="4"/>
      <c r="E1472" s="4" t="str">
        <f>"023952010"</f>
        <v>023952010</v>
      </c>
      <c r="F1472" s="10">
        <v>40170</v>
      </c>
      <c r="G1472" s="11">
        <v>7258.5</v>
      </c>
      <c r="H1472" s="11">
        <v>7258.5</v>
      </c>
      <c r="I1472" s="4" t="s">
        <v>366</v>
      </c>
      <c r="J1472" s="4" t="s">
        <v>367</v>
      </c>
      <c r="K1472" s="11">
        <v>0</v>
      </c>
      <c r="L1472" s="4"/>
      <c r="M1472" s="4"/>
      <c r="N1472" s="11">
        <v>0</v>
      </c>
      <c r="O1472" s="4"/>
      <c r="P1472" s="4"/>
      <c r="Q1472" s="11">
        <v>0</v>
      </c>
      <c r="R1472" s="4"/>
      <c r="S1472" s="12"/>
    </row>
    <row r="1473" spans="1:19" x14ac:dyDescent="0.25">
      <c r="A1473" s="9" t="s">
        <v>485</v>
      </c>
      <c r="B1473" s="9" t="s">
        <v>485</v>
      </c>
      <c r="C1473" s="4">
        <v>201001238</v>
      </c>
      <c r="D1473" s="4"/>
      <c r="E1473" s="4" t="str">
        <f>"024052010"</f>
        <v>024052010</v>
      </c>
      <c r="F1473" s="10">
        <v>40170</v>
      </c>
      <c r="G1473" s="11">
        <v>3000</v>
      </c>
      <c r="H1473" s="11">
        <v>3000</v>
      </c>
      <c r="I1473" s="4" t="s">
        <v>687</v>
      </c>
      <c r="J1473" s="4" t="s">
        <v>688</v>
      </c>
      <c r="K1473" s="11">
        <v>0</v>
      </c>
      <c r="L1473" s="4"/>
      <c r="M1473" s="4"/>
      <c r="N1473" s="11">
        <v>0</v>
      </c>
      <c r="O1473" s="4"/>
      <c r="P1473" s="4"/>
      <c r="Q1473" s="11">
        <v>0</v>
      </c>
      <c r="R1473" s="4"/>
      <c r="S1473" s="12"/>
    </row>
    <row r="1474" spans="1:19" x14ac:dyDescent="0.25">
      <c r="A1474" s="9" t="s">
        <v>485</v>
      </c>
      <c r="B1474" s="9" t="s">
        <v>485</v>
      </c>
      <c r="C1474" s="4">
        <v>201001257</v>
      </c>
      <c r="D1474" s="4"/>
      <c r="E1474" s="4" t="str">
        <f>"025752010"</f>
        <v>025752010</v>
      </c>
      <c r="F1474" s="10">
        <v>40186</v>
      </c>
      <c r="G1474" s="11">
        <v>14139.65</v>
      </c>
      <c r="H1474" s="11">
        <v>14139.65</v>
      </c>
      <c r="I1474" s="4" t="s">
        <v>366</v>
      </c>
      <c r="J1474" s="4" t="s">
        <v>367</v>
      </c>
      <c r="K1474" s="11">
        <v>0</v>
      </c>
      <c r="L1474" s="4"/>
      <c r="M1474" s="4"/>
      <c r="N1474" s="11">
        <v>0</v>
      </c>
      <c r="O1474" s="4"/>
      <c r="P1474" s="4"/>
      <c r="Q1474" s="11">
        <v>0</v>
      </c>
      <c r="R1474" s="4"/>
      <c r="S1474" s="12"/>
    </row>
    <row r="1475" spans="1:19" x14ac:dyDescent="0.25">
      <c r="A1475" s="9" t="s">
        <v>485</v>
      </c>
      <c r="B1475" s="9" t="s">
        <v>485</v>
      </c>
      <c r="C1475" s="4">
        <v>201001260</v>
      </c>
      <c r="D1475" s="4"/>
      <c r="E1475" s="4" t="str">
        <f>"025812010"</f>
        <v>025812010</v>
      </c>
      <c r="F1475" s="10">
        <v>40186</v>
      </c>
      <c r="G1475" s="11">
        <v>2765.21</v>
      </c>
      <c r="H1475" s="11">
        <v>2765.21</v>
      </c>
      <c r="I1475" s="4" t="s">
        <v>366</v>
      </c>
      <c r="J1475" s="4" t="s">
        <v>367</v>
      </c>
      <c r="K1475" s="11">
        <v>0</v>
      </c>
      <c r="L1475" s="4"/>
      <c r="M1475" s="4"/>
      <c r="N1475" s="11">
        <v>0</v>
      </c>
      <c r="O1475" s="4"/>
      <c r="P1475" s="4"/>
      <c r="Q1475" s="11">
        <v>0</v>
      </c>
      <c r="R1475" s="4"/>
      <c r="S1475" s="12"/>
    </row>
    <row r="1476" spans="1:19" x14ac:dyDescent="0.25">
      <c r="A1476" s="9" t="s">
        <v>485</v>
      </c>
      <c r="B1476" s="9" t="s">
        <v>485</v>
      </c>
      <c r="C1476" s="4">
        <v>201001269</v>
      </c>
      <c r="D1476" s="4"/>
      <c r="E1476" s="4" t="str">
        <f>"038482010"</f>
        <v>038482010</v>
      </c>
      <c r="F1476" s="10">
        <v>40227</v>
      </c>
      <c r="G1476" s="11">
        <v>2999.9</v>
      </c>
      <c r="H1476" s="11">
        <v>2999.9</v>
      </c>
      <c r="I1476" s="4" t="s">
        <v>366</v>
      </c>
      <c r="J1476" s="4" t="s">
        <v>367</v>
      </c>
      <c r="K1476" s="11">
        <v>0</v>
      </c>
      <c r="L1476" s="4"/>
      <c r="M1476" s="4"/>
      <c r="N1476" s="11">
        <v>0</v>
      </c>
      <c r="O1476" s="4"/>
      <c r="P1476" s="4"/>
      <c r="Q1476" s="11">
        <v>0</v>
      </c>
      <c r="R1476" s="4"/>
      <c r="S1476" s="12"/>
    </row>
    <row r="1477" spans="1:19" x14ac:dyDescent="0.25">
      <c r="A1477" s="9" t="s">
        <v>485</v>
      </c>
      <c r="B1477" s="9" t="s">
        <v>485</v>
      </c>
      <c r="C1477" s="4">
        <v>201001273</v>
      </c>
      <c r="D1477" s="4" t="s">
        <v>2027</v>
      </c>
      <c r="E1477" s="4" t="str">
        <f>"025512010"</f>
        <v>025512010</v>
      </c>
      <c r="F1477" s="10">
        <v>40177</v>
      </c>
      <c r="G1477" s="11">
        <v>11077</v>
      </c>
      <c r="H1477" s="11">
        <v>11077</v>
      </c>
      <c r="I1477" s="4" t="s">
        <v>366</v>
      </c>
      <c r="J1477" s="4" t="s">
        <v>367</v>
      </c>
      <c r="K1477" s="11">
        <v>0</v>
      </c>
      <c r="L1477" s="4"/>
      <c r="M1477" s="4"/>
      <c r="N1477" s="11">
        <v>0</v>
      </c>
      <c r="O1477" s="4"/>
      <c r="P1477" s="4"/>
      <c r="Q1477" s="11">
        <v>0</v>
      </c>
      <c r="R1477" s="4"/>
      <c r="S1477" s="12"/>
    </row>
    <row r="1478" spans="1:19" x14ac:dyDescent="0.25">
      <c r="A1478" s="9" t="s">
        <v>485</v>
      </c>
      <c r="B1478" s="9" t="s">
        <v>485</v>
      </c>
      <c r="C1478" s="4">
        <v>201001277</v>
      </c>
      <c r="D1478" s="4"/>
      <c r="E1478" s="4" t="str">
        <f>"025112010"</f>
        <v>025112010</v>
      </c>
      <c r="F1478" s="10">
        <v>40177</v>
      </c>
      <c r="G1478" s="11">
        <v>3531.89</v>
      </c>
      <c r="H1478" s="11">
        <v>3531.89</v>
      </c>
      <c r="I1478" s="4" t="s">
        <v>366</v>
      </c>
      <c r="J1478" s="4" t="s">
        <v>367</v>
      </c>
      <c r="K1478" s="11">
        <v>0</v>
      </c>
      <c r="L1478" s="4"/>
      <c r="M1478" s="4"/>
      <c r="N1478" s="11">
        <v>0</v>
      </c>
      <c r="O1478" s="4"/>
      <c r="P1478" s="4"/>
      <c r="Q1478" s="11">
        <v>0</v>
      </c>
      <c r="R1478" s="4"/>
      <c r="S1478" s="12"/>
    </row>
    <row r="1479" spans="1:19" x14ac:dyDescent="0.25">
      <c r="A1479" s="9" t="s">
        <v>485</v>
      </c>
      <c r="B1479" s="9" t="s">
        <v>485</v>
      </c>
      <c r="C1479" s="4">
        <v>201001279</v>
      </c>
      <c r="D1479" s="4" t="s">
        <v>2028</v>
      </c>
      <c r="E1479" s="4" t="str">
        <f>"024572010"</f>
        <v>024572010</v>
      </c>
      <c r="F1479" s="10">
        <v>40177</v>
      </c>
      <c r="G1479" s="11">
        <v>5500</v>
      </c>
      <c r="H1479" s="11">
        <v>5500</v>
      </c>
      <c r="I1479" s="4" t="s">
        <v>366</v>
      </c>
      <c r="J1479" s="4" t="s">
        <v>367</v>
      </c>
      <c r="K1479" s="11">
        <v>0</v>
      </c>
      <c r="L1479" s="4"/>
      <c r="M1479" s="4"/>
      <c r="N1479" s="11">
        <v>0</v>
      </c>
      <c r="O1479" s="4"/>
      <c r="P1479" s="4"/>
      <c r="Q1479" s="11">
        <v>0</v>
      </c>
      <c r="R1479" s="4"/>
      <c r="S1479" s="12"/>
    </row>
    <row r="1480" spans="1:19" x14ac:dyDescent="0.25">
      <c r="A1480" s="9" t="s">
        <v>485</v>
      </c>
      <c r="B1480" s="9" t="s">
        <v>485</v>
      </c>
      <c r="C1480" s="4">
        <v>201001285</v>
      </c>
      <c r="D1480" s="4"/>
      <c r="E1480" s="4" t="str">
        <f>"025232010"</f>
        <v>025232010</v>
      </c>
      <c r="F1480" s="10">
        <v>40177</v>
      </c>
      <c r="G1480" s="11">
        <v>5500</v>
      </c>
      <c r="H1480" s="11">
        <v>5500</v>
      </c>
      <c r="I1480" s="4" t="s">
        <v>366</v>
      </c>
      <c r="J1480" s="4" t="s">
        <v>367</v>
      </c>
      <c r="K1480" s="11">
        <v>0</v>
      </c>
      <c r="L1480" s="4"/>
      <c r="M1480" s="4"/>
      <c r="N1480" s="11">
        <v>0</v>
      </c>
      <c r="O1480" s="4"/>
      <c r="P1480" s="4"/>
      <c r="Q1480" s="11">
        <v>0</v>
      </c>
      <c r="R1480" s="4"/>
      <c r="S1480" s="12"/>
    </row>
    <row r="1481" spans="1:19" x14ac:dyDescent="0.25">
      <c r="A1481" s="9" t="s">
        <v>485</v>
      </c>
      <c r="B1481" s="9" t="s">
        <v>291</v>
      </c>
      <c r="C1481" s="4">
        <v>201001296</v>
      </c>
      <c r="D1481" s="4" t="s">
        <v>2029</v>
      </c>
      <c r="E1481" s="4" t="str">
        <f>"024972010"</f>
        <v>024972010</v>
      </c>
      <c r="F1481" s="10">
        <v>40177</v>
      </c>
      <c r="G1481" s="11">
        <v>4226.25</v>
      </c>
      <c r="H1481" s="11">
        <v>4226.25</v>
      </c>
      <c r="I1481" s="4" t="s">
        <v>23</v>
      </c>
      <c r="J1481" s="4" t="s">
        <v>24</v>
      </c>
      <c r="K1481" s="11">
        <v>0</v>
      </c>
      <c r="L1481" s="4"/>
      <c r="M1481" s="4"/>
      <c r="N1481" s="11">
        <v>0</v>
      </c>
      <c r="O1481" s="4"/>
      <c r="P1481" s="4"/>
      <c r="Q1481" s="11">
        <v>0</v>
      </c>
      <c r="R1481" s="4"/>
      <c r="S1481" s="12"/>
    </row>
    <row r="1482" spans="1:19" x14ac:dyDescent="0.25">
      <c r="A1482" s="9" t="s">
        <v>485</v>
      </c>
      <c r="B1482" s="9" t="s">
        <v>485</v>
      </c>
      <c r="C1482" s="4">
        <v>201001298</v>
      </c>
      <c r="D1482" s="4"/>
      <c r="E1482" s="4" t="str">
        <f>"028202010"</f>
        <v>028202010</v>
      </c>
      <c r="F1482" s="10">
        <v>40186</v>
      </c>
      <c r="G1482" s="11">
        <v>4159.24</v>
      </c>
      <c r="H1482" s="11">
        <v>4159.24</v>
      </c>
      <c r="I1482" s="4" t="s">
        <v>366</v>
      </c>
      <c r="J1482" s="4" t="s">
        <v>367</v>
      </c>
      <c r="K1482" s="11">
        <v>0</v>
      </c>
      <c r="L1482" s="4"/>
      <c r="M1482" s="4"/>
      <c r="N1482" s="11">
        <v>0</v>
      </c>
      <c r="O1482" s="4"/>
      <c r="P1482" s="4"/>
      <c r="Q1482" s="11">
        <v>0</v>
      </c>
      <c r="R1482" s="4"/>
      <c r="S1482" s="12"/>
    </row>
    <row r="1483" spans="1:19" x14ac:dyDescent="0.25">
      <c r="A1483" s="9" t="s">
        <v>485</v>
      </c>
      <c r="B1483" s="9" t="s">
        <v>485</v>
      </c>
      <c r="C1483" s="4">
        <v>201001307</v>
      </c>
      <c r="D1483" s="4" t="s">
        <v>2030</v>
      </c>
      <c r="E1483" s="4" t="str">
        <f>"025332010"</f>
        <v>025332010</v>
      </c>
      <c r="F1483" s="10">
        <v>40177</v>
      </c>
      <c r="G1483" s="11">
        <v>5180.8900000000003</v>
      </c>
      <c r="H1483" s="11">
        <v>5180.8900000000003</v>
      </c>
      <c r="I1483" s="4" t="s">
        <v>366</v>
      </c>
      <c r="J1483" s="4" t="s">
        <v>367</v>
      </c>
      <c r="K1483" s="11">
        <v>0</v>
      </c>
      <c r="L1483" s="4"/>
      <c r="M1483" s="4"/>
      <c r="N1483" s="11">
        <v>0</v>
      </c>
      <c r="O1483" s="4"/>
      <c r="P1483" s="4"/>
      <c r="Q1483" s="11">
        <v>0</v>
      </c>
      <c r="R1483" s="4"/>
      <c r="S1483" s="12"/>
    </row>
    <row r="1484" spans="1:19" x14ac:dyDescent="0.25">
      <c r="A1484" s="9" t="s">
        <v>485</v>
      </c>
      <c r="B1484" s="9" t="s">
        <v>485</v>
      </c>
      <c r="C1484" s="4">
        <v>201001329</v>
      </c>
      <c r="D1484" s="4" t="s">
        <v>2031</v>
      </c>
      <c r="E1484" s="4" t="str">
        <f>"026252010"</f>
        <v>026252010</v>
      </c>
      <c r="F1484" s="10">
        <v>40192</v>
      </c>
      <c r="G1484" s="11">
        <v>400000</v>
      </c>
      <c r="H1484" s="11">
        <v>400000</v>
      </c>
      <c r="I1484" s="4" t="s">
        <v>687</v>
      </c>
      <c r="J1484" s="4" t="s">
        <v>688</v>
      </c>
      <c r="K1484" s="11">
        <v>0</v>
      </c>
      <c r="L1484" s="4"/>
      <c r="M1484" s="4"/>
      <c r="N1484" s="11">
        <v>0</v>
      </c>
      <c r="O1484" s="4"/>
      <c r="P1484" s="4"/>
      <c r="Q1484" s="11">
        <v>0</v>
      </c>
      <c r="R1484" s="4"/>
      <c r="S1484" s="12"/>
    </row>
    <row r="1485" spans="1:19" x14ac:dyDescent="0.25">
      <c r="A1485" s="9" t="s">
        <v>485</v>
      </c>
      <c r="B1485" s="9" t="s">
        <v>485</v>
      </c>
      <c r="C1485" s="4">
        <v>201001329</v>
      </c>
      <c r="D1485" s="4" t="s">
        <v>2031</v>
      </c>
      <c r="E1485" s="4" t="str">
        <f>"026272010"</f>
        <v>026272010</v>
      </c>
      <c r="F1485" s="10">
        <v>40189</v>
      </c>
      <c r="G1485" s="11">
        <v>72500</v>
      </c>
      <c r="H1485" s="11">
        <v>72500</v>
      </c>
      <c r="I1485" s="4" t="s">
        <v>687</v>
      </c>
      <c r="J1485" s="4" t="s">
        <v>688</v>
      </c>
      <c r="K1485" s="11">
        <v>0</v>
      </c>
      <c r="L1485" s="4"/>
      <c r="M1485" s="4"/>
      <c r="N1485" s="11">
        <v>0</v>
      </c>
      <c r="O1485" s="4"/>
      <c r="P1485" s="4"/>
      <c r="Q1485" s="11">
        <v>0</v>
      </c>
      <c r="R1485" s="4"/>
      <c r="S1485" s="12"/>
    </row>
    <row r="1486" spans="1:19" x14ac:dyDescent="0.25">
      <c r="A1486" s="9" t="s">
        <v>485</v>
      </c>
      <c r="B1486" s="9" t="s">
        <v>485</v>
      </c>
      <c r="C1486" s="4">
        <v>201001334</v>
      </c>
      <c r="D1486" s="4" t="s">
        <v>2032</v>
      </c>
      <c r="E1486" s="4" t="str">
        <f>"026292010"</f>
        <v>026292010</v>
      </c>
      <c r="F1486" s="10">
        <v>40190</v>
      </c>
      <c r="G1486" s="11">
        <v>200000</v>
      </c>
      <c r="H1486" s="11">
        <v>200000</v>
      </c>
      <c r="I1486" s="4" t="s">
        <v>366</v>
      </c>
      <c r="J1486" s="4" t="s">
        <v>367</v>
      </c>
      <c r="K1486" s="11">
        <v>0</v>
      </c>
      <c r="L1486" s="4"/>
      <c r="M1486" s="4"/>
      <c r="N1486" s="11">
        <v>0</v>
      </c>
      <c r="O1486" s="4"/>
      <c r="P1486" s="4"/>
      <c r="Q1486" s="11">
        <v>0</v>
      </c>
      <c r="R1486" s="4"/>
      <c r="S1486" s="12"/>
    </row>
    <row r="1487" spans="1:19" x14ac:dyDescent="0.25">
      <c r="A1487" s="9" t="s">
        <v>485</v>
      </c>
      <c r="B1487" s="9" t="s">
        <v>485</v>
      </c>
      <c r="C1487" s="4">
        <v>201001343</v>
      </c>
      <c r="D1487" s="4"/>
      <c r="E1487" s="4" t="str">
        <f>"027692010"</f>
        <v>027692010</v>
      </c>
      <c r="F1487" s="10">
        <v>40185</v>
      </c>
      <c r="G1487" s="11">
        <v>4549.6000000000004</v>
      </c>
      <c r="H1487" s="11">
        <v>4549.6000000000004</v>
      </c>
      <c r="I1487" s="4" t="s">
        <v>366</v>
      </c>
      <c r="J1487" s="4" t="s">
        <v>367</v>
      </c>
      <c r="K1487" s="11">
        <v>0</v>
      </c>
      <c r="L1487" s="4"/>
      <c r="M1487" s="4"/>
      <c r="N1487" s="11">
        <v>0</v>
      </c>
      <c r="O1487" s="4"/>
      <c r="P1487" s="4"/>
      <c r="Q1487" s="11">
        <v>0</v>
      </c>
      <c r="R1487" s="4"/>
      <c r="S1487" s="12"/>
    </row>
    <row r="1488" spans="1:19" x14ac:dyDescent="0.25">
      <c r="A1488" s="9" t="s">
        <v>485</v>
      </c>
      <c r="B1488" s="9" t="s">
        <v>485</v>
      </c>
      <c r="C1488" s="4">
        <v>201001346</v>
      </c>
      <c r="D1488" s="4"/>
      <c r="E1488" s="4" t="str">
        <f>"026112010"</f>
        <v>026112010</v>
      </c>
      <c r="F1488" s="10">
        <v>40192</v>
      </c>
      <c r="G1488" s="11">
        <v>2700.3</v>
      </c>
      <c r="H1488" s="11">
        <v>2700.3</v>
      </c>
      <c r="I1488" s="4" t="s">
        <v>366</v>
      </c>
      <c r="J1488" s="4" t="s">
        <v>367</v>
      </c>
      <c r="K1488" s="11">
        <v>0</v>
      </c>
      <c r="L1488" s="4"/>
      <c r="M1488" s="4"/>
      <c r="N1488" s="11">
        <v>0</v>
      </c>
      <c r="O1488" s="4"/>
      <c r="P1488" s="4"/>
      <c r="Q1488" s="11">
        <v>0</v>
      </c>
      <c r="R1488" s="4"/>
      <c r="S1488" s="12"/>
    </row>
    <row r="1489" spans="1:19" x14ac:dyDescent="0.25">
      <c r="A1489" s="9" t="s">
        <v>485</v>
      </c>
      <c r="B1489" s="9" t="s">
        <v>485</v>
      </c>
      <c r="C1489" s="4">
        <v>201001358</v>
      </c>
      <c r="D1489" s="4"/>
      <c r="E1489" s="4" t="str">
        <f>"026172010"</f>
        <v>026172010</v>
      </c>
      <c r="F1489" s="10">
        <v>40190</v>
      </c>
      <c r="G1489" s="11">
        <v>12795.16</v>
      </c>
      <c r="H1489" s="11">
        <v>12795.16</v>
      </c>
      <c r="I1489" s="4" t="s">
        <v>366</v>
      </c>
      <c r="J1489" s="4" t="s">
        <v>367</v>
      </c>
      <c r="K1489" s="11">
        <v>0</v>
      </c>
      <c r="L1489" s="4"/>
      <c r="M1489" s="4"/>
      <c r="N1489" s="11">
        <v>0</v>
      </c>
      <c r="O1489" s="4"/>
      <c r="P1489" s="4"/>
      <c r="Q1489" s="11">
        <v>0</v>
      </c>
      <c r="R1489" s="4"/>
      <c r="S1489" s="12"/>
    </row>
    <row r="1490" spans="1:19" x14ac:dyDescent="0.25">
      <c r="A1490" s="9" t="s">
        <v>485</v>
      </c>
      <c r="B1490" s="9" t="s">
        <v>485</v>
      </c>
      <c r="C1490" s="4">
        <v>201001364</v>
      </c>
      <c r="D1490" s="4"/>
      <c r="E1490" s="4" t="str">
        <f>"026332010"</f>
        <v>026332010</v>
      </c>
      <c r="F1490" s="10">
        <v>40192</v>
      </c>
      <c r="G1490" s="11">
        <v>4409.1000000000004</v>
      </c>
      <c r="H1490" s="11">
        <v>4409.1000000000004</v>
      </c>
      <c r="I1490" s="4" t="s">
        <v>366</v>
      </c>
      <c r="J1490" s="4" t="s">
        <v>367</v>
      </c>
      <c r="K1490" s="11">
        <v>0</v>
      </c>
      <c r="L1490" s="4"/>
      <c r="M1490" s="4"/>
      <c r="N1490" s="11">
        <v>0</v>
      </c>
      <c r="O1490" s="4"/>
      <c r="P1490" s="4"/>
      <c r="Q1490" s="11">
        <v>0</v>
      </c>
      <c r="R1490" s="4"/>
      <c r="S1490" s="12"/>
    </row>
    <row r="1491" spans="1:19" x14ac:dyDescent="0.25">
      <c r="A1491" s="9" t="s">
        <v>485</v>
      </c>
      <c r="B1491" s="9" t="s">
        <v>485</v>
      </c>
      <c r="C1491" s="4">
        <v>201001368</v>
      </c>
      <c r="D1491" s="4"/>
      <c r="E1491" s="4" t="str">
        <f>"029972010"</f>
        <v>029972010</v>
      </c>
      <c r="F1491" s="10">
        <v>40192</v>
      </c>
      <c r="G1491" s="11">
        <v>28000</v>
      </c>
      <c r="H1491" s="11">
        <v>22400</v>
      </c>
      <c r="I1491" s="4" t="s">
        <v>366</v>
      </c>
      <c r="J1491" s="4" t="s">
        <v>367</v>
      </c>
      <c r="K1491" s="11">
        <v>5600</v>
      </c>
      <c r="L1491" s="4" t="s">
        <v>366</v>
      </c>
      <c r="M1491" s="4" t="s">
        <v>367</v>
      </c>
      <c r="N1491" s="11">
        <v>0</v>
      </c>
      <c r="O1491" s="4"/>
      <c r="P1491" s="4"/>
      <c r="Q1491" s="11">
        <v>0</v>
      </c>
      <c r="R1491" s="4"/>
      <c r="S1491" s="12"/>
    </row>
    <row r="1492" spans="1:19" x14ac:dyDescent="0.25">
      <c r="A1492" s="9" t="s">
        <v>485</v>
      </c>
      <c r="B1492" s="9" t="s">
        <v>485</v>
      </c>
      <c r="C1492" s="4">
        <v>201001373</v>
      </c>
      <c r="D1492" s="4"/>
      <c r="E1492" s="4" t="str">
        <f>"026412010"</f>
        <v>026412010</v>
      </c>
      <c r="F1492" s="10">
        <v>40190</v>
      </c>
      <c r="G1492" s="11">
        <v>3723.46</v>
      </c>
      <c r="H1492" s="11">
        <v>3723.46</v>
      </c>
      <c r="I1492" s="4" t="s">
        <v>366</v>
      </c>
      <c r="J1492" s="4" t="s">
        <v>367</v>
      </c>
      <c r="K1492" s="11">
        <v>0</v>
      </c>
      <c r="L1492" s="4"/>
      <c r="M1492" s="4"/>
      <c r="N1492" s="11">
        <v>0</v>
      </c>
      <c r="O1492" s="4"/>
      <c r="P1492" s="4"/>
      <c r="Q1492" s="11">
        <v>0</v>
      </c>
      <c r="R1492" s="4"/>
      <c r="S1492" s="12"/>
    </row>
    <row r="1493" spans="1:19" x14ac:dyDescent="0.25">
      <c r="A1493" s="9" t="s">
        <v>485</v>
      </c>
      <c r="B1493" s="9" t="s">
        <v>485</v>
      </c>
      <c r="C1493" s="4">
        <v>201001401</v>
      </c>
      <c r="D1493" s="4"/>
      <c r="E1493" s="4" t="str">
        <f>"029792010"</f>
        <v>029792010</v>
      </c>
      <c r="F1493" s="10">
        <v>40191</v>
      </c>
      <c r="G1493" s="11">
        <v>55000</v>
      </c>
      <c r="H1493" s="11">
        <v>55000</v>
      </c>
      <c r="I1493" s="4" t="s">
        <v>687</v>
      </c>
      <c r="J1493" s="4" t="s">
        <v>688</v>
      </c>
      <c r="K1493" s="11">
        <v>0</v>
      </c>
      <c r="L1493" s="4"/>
      <c r="M1493" s="4"/>
      <c r="N1493" s="11">
        <v>0</v>
      </c>
      <c r="O1493" s="4"/>
      <c r="P1493" s="4"/>
      <c r="Q1493" s="11">
        <v>0</v>
      </c>
      <c r="R1493" s="4"/>
      <c r="S1493" s="12"/>
    </row>
    <row r="1494" spans="1:19" x14ac:dyDescent="0.25">
      <c r="A1494" s="9" t="s">
        <v>485</v>
      </c>
      <c r="B1494" s="9" t="s">
        <v>485</v>
      </c>
      <c r="C1494" s="4">
        <v>201001403</v>
      </c>
      <c r="D1494" s="4" t="s">
        <v>2033</v>
      </c>
      <c r="E1494" s="4" t="str">
        <f>"026992010"</f>
        <v>026992010</v>
      </c>
      <c r="F1494" s="10">
        <v>40185</v>
      </c>
      <c r="G1494" s="11">
        <v>32636.05</v>
      </c>
      <c r="H1494" s="11">
        <v>32636.05</v>
      </c>
      <c r="I1494" s="4" t="s">
        <v>366</v>
      </c>
      <c r="J1494" s="4" t="s">
        <v>367</v>
      </c>
      <c r="K1494" s="11">
        <v>0</v>
      </c>
      <c r="L1494" s="4"/>
      <c r="M1494" s="4"/>
      <c r="N1494" s="11">
        <v>0</v>
      </c>
      <c r="O1494" s="4"/>
      <c r="P1494" s="4"/>
      <c r="Q1494" s="11">
        <v>0</v>
      </c>
      <c r="R1494" s="4"/>
      <c r="S1494" s="12"/>
    </row>
    <row r="1495" spans="1:19" x14ac:dyDescent="0.25">
      <c r="A1495" s="9" t="s">
        <v>485</v>
      </c>
      <c r="B1495" s="9" t="s">
        <v>485</v>
      </c>
      <c r="C1495" s="4">
        <v>201001404</v>
      </c>
      <c r="D1495" s="4"/>
      <c r="E1495" s="4" t="str">
        <f>"027672010"</f>
        <v>027672010</v>
      </c>
      <c r="F1495" s="10">
        <v>40185</v>
      </c>
      <c r="G1495" s="11">
        <v>4274.8999999999996</v>
      </c>
      <c r="H1495" s="11">
        <v>4274.8999999999996</v>
      </c>
      <c r="I1495" s="4" t="s">
        <v>366</v>
      </c>
      <c r="J1495" s="4" t="s">
        <v>367</v>
      </c>
      <c r="K1495" s="11">
        <v>0</v>
      </c>
      <c r="L1495" s="4"/>
      <c r="M1495" s="4"/>
      <c r="N1495" s="11">
        <v>0</v>
      </c>
      <c r="O1495" s="4"/>
      <c r="P1495" s="4"/>
      <c r="Q1495" s="11">
        <v>0</v>
      </c>
      <c r="R1495" s="4"/>
      <c r="S1495" s="12"/>
    </row>
    <row r="1496" spans="1:19" x14ac:dyDescent="0.25">
      <c r="A1496" s="9" t="s">
        <v>485</v>
      </c>
      <c r="B1496" s="9" t="s">
        <v>485</v>
      </c>
      <c r="C1496" s="4">
        <v>201001426</v>
      </c>
      <c r="D1496" s="4" t="s">
        <v>2034</v>
      </c>
      <c r="E1496" s="4" t="str">
        <f>"028182010"</f>
        <v>028182010</v>
      </c>
      <c r="F1496" s="10">
        <v>40186</v>
      </c>
      <c r="G1496" s="11">
        <v>10000</v>
      </c>
      <c r="H1496" s="11">
        <v>10000</v>
      </c>
      <c r="I1496" s="4" t="s">
        <v>366</v>
      </c>
      <c r="J1496" s="4" t="s">
        <v>367</v>
      </c>
      <c r="K1496" s="11">
        <v>0</v>
      </c>
      <c r="L1496" s="4"/>
      <c r="M1496" s="4"/>
      <c r="N1496" s="11">
        <v>0</v>
      </c>
      <c r="O1496" s="4"/>
      <c r="P1496" s="4"/>
      <c r="Q1496" s="11">
        <v>0</v>
      </c>
      <c r="R1496" s="4"/>
      <c r="S1496" s="12"/>
    </row>
    <row r="1497" spans="1:19" x14ac:dyDescent="0.25">
      <c r="A1497" s="9" t="s">
        <v>485</v>
      </c>
      <c r="B1497" s="9" t="s">
        <v>485</v>
      </c>
      <c r="C1497" s="4">
        <v>201001427</v>
      </c>
      <c r="D1497" s="4"/>
      <c r="E1497" s="4" t="str">
        <f>"027852010"</f>
        <v>027852010</v>
      </c>
      <c r="F1497" s="10">
        <v>40186</v>
      </c>
      <c r="G1497" s="11">
        <v>9694.06</v>
      </c>
      <c r="H1497" s="11">
        <v>9694.06</v>
      </c>
      <c r="I1497" s="4" t="s">
        <v>366</v>
      </c>
      <c r="J1497" s="4" t="s">
        <v>367</v>
      </c>
      <c r="K1497" s="11">
        <v>0</v>
      </c>
      <c r="L1497" s="4"/>
      <c r="M1497" s="4"/>
      <c r="N1497" s="11">
        <v>0</v>
      </c>
      <c r="O1497" s="4"/>
      <c r="P1497" s="4"/>
      <c r="Q1497" s="11">
        <v>0</v>
      </c>
      <c r="R1497" s="4"/>
      <c r="S1497" s="12"/>
    </row>
    <row r="1498" spans="1:19" x14ac:dyDescent="0.25">
      <c r="A1498" s="9" t="s">
        <v>485</v>
      </c>
      <c r="B1498" s="9" t="s">
        <v>485</v>
      </c>
      <c r="C1498" s="4">
        <v>201001435</v>
      </c>
      <c r="D1498" s="4" t="s">
        <v>2035</v>
      </c>
      <c r="E1498" s="4" t="str">
        <f>"027712010"</f>
        <v>027712010</v>
      </c>
      <c r="F1498" s="10">
        <v>40186</v>
      </c>
      <c r="G1498" s="11">
        <v>18762.86</v>
      </c>
      <c r="H1498" s="11">
        <v>18762.86</v>
      </c>
      <c r="I1498" s="4" t="s">
        <v>366</v>
      </c>
      <c r="J1498" s="4" t="s">
        <v>367</v>
      </c>
      <c r="K1498" s="11">
        <v>0</v>
      </c>
      <c r="L1498" s="4"/>
      <c r="M1498" s="4"/>
      <c r="N1498" s="11">
        <v>0</v>
      </c>
      <c r="O1498" s="4"/>
      <c r="P1498" s="4"/>
      <c r="Q1498" s="11">
        <v>0</v>
      </c>
      <c r="R1498" s="4"/>
      <c r="S1498" s="12"/>
    </row>
    <row r="1499" spans="1:19" x14ac:dyDescent="0.25">
      <c r="A1499" s="9" t="s">
        <v>485</v>
      </c>
      <c r="B1499" s="9" t="s">
        <v>485</v>
      </c>
      <c r="C1499" s="4">
        <v>201001469</v>
      </c>
      <c r="D1499" s="4"/>
      <c r="E1499" s="4" t="str">
        <f>"029572010"</f>
        <v>029572010</v>
      </c>
      <c r="F1499" s="10">
        <v>40191</v>
      </c>
      <c r="G1499" s="11">
        <v>13000</v>
      </c>
      <c r="H1499" s="11">
        <v>13000</v>
      </c>
      <c r="I1499" s="4" t="s">
        <v>366</v>
      </c>
      <c r="J1499" s="4" t="s">
        <v>367</v>
      </c>
      <c r="K1499" s="11">
        <v>0</v>
      </c>
      <c r="L1499" s="4"/>
      <c r="M1499" s="4"/>
      <c r="N1499" s="11">
        <v>0</v>
      </c>
      <c r="O1499" s="4"/>
      <c r="P1499" s="4"/>
      <c r="Q1499" s="11">
        <v>0</v>
      </c>
      <c r="R1499" s="4"/>
      <c r="S1499" s="12"/>
    </row>
    <row r="1500" spans="1:19" x14ac:dyDescent="0.25">
      <c r="A1500" s="9" t="s">
        <v>485</v>
      </c>
      <c r="B1500" s="9" t="s">
        <v>485</v>
      </c>
      <c r="C1500" s="4">
        <v>201001470</v>
      </c>
      <c r="D1500" s="4"/>
      <c r="E1500" s="4" t="str">
        <f>"030652010"</f>
        <v>030652010</v>
      </c>
      <c r="F1500" s="10">
        <v>40193</v>
      </c>
      <c r="G1500" s="11">
        <v>4168.05</v>
      </c>
      <c r="H1500" s="11">
        <v>4168.05</v>
      </c>
      <c r="I1500" s="4" t="s">
        <v>366</v>
      </c>
      <c r="J1500" s="4" t="s">
        <v>367</v>
      </c>
      <c r="K1500" s="11">
        <v>0</v>
      </c>
      <c r="L1500" s="4"/>
      <c r="M1500" s="4"/>
      <c r="N1500" s="11">
        <v>0</v>
      </c>
      <c r="O1500" s="4"/>
      <c r="P1500" s="4"/>
      <c r="Q1500" s="11">
        <v>0</v>
      </c>
      <c r="R1500" s="4"/>
      <c r="S1500" s="12"/>
    </row>
    <row r="1501" spans="1:19" x14ac:dyDescent="0.25">
      <c r="A1501" s="9" t="s">
        <v>485</v>
      </c>
      <c r="B1501" s="9" t="s">
        <v>485</v>
      </c>
      <c r="C1501" s="4">
        <v>201001474</v>
      </c>
      <c r="D1501" s="4" t="s">
        <v>2036</v>
      </c>
      <c r="E1501" s="4" t="str">
        <f>"033242010"</f>
        <v>033242010</v>
      </c>
      <c r="F1501" s="10">
        <v>40203</v>
      </c>
      <c r="G1501" s="11">
        <v>7000</v>
      </c>
      <c r="H1501" s="11">
        <v>7000</v>
      </c>
      <c r="I1501" s="4" t="s">
        <v>54</v>
      </c>
      <c r="J1501" s="4" t="s">
        <v>55</v>
      </c>
      <c r="K1501" s="11">
        <v>0</v>
      </c>
      <c r="L1501" s="4"/>
      <c r="M1501" s="4"/>
      <c r="N1501" s="11">
        <v>0</v>
      </c>
      <c r="O1501" s="4"/>
      <c r="P1501" s="4"/>
      <c r="Q1501" s="11">
        <v>0</v>
      </c>
      <c r="R1501" s="4"/>
      <c r="S1501" s="12"/>
    </row>
    <row r="1502" spans="1:19" x14ac:dyDescent="0.25">
      <c r="A1502" s="9" t="s">
        <v>485</v>
      </c>
      <c r="B1502" s="9" t="s">
        <v>485</v>
      </c>
      <c r="C1502" s="4">
        <v>201001475</v>
      </c>
      <c r="D1502" s="4" t="s">
        <v>2037</v>
      </c>
      <c r="E1502" s="4" t="str">
        <f>"052692010"</f>
        <v>052692010</v>
      </c>
      <c r="F1502" s="10">
        <v>40276</v>
      </c>
      <c r="G1502" s="11">
        <v>85957.3</v>
      </c>
      <c r="H1502" s="11">
        <v>85957.3</v>
      </c>
      <c r="I1502" s="4" t="s">
        <v>366</v>
      </c>
      <c r="J1502" s="4" t="s">
        <v>367</v>
      </c>
      <c r="K1502" s="11">
        <v>0</v>
      </c>
      <c r="L1502" s="4"/>
      <c r="M1502" s="4"/>
      <c r="N1502" s="11">
        <v>0</v>
      </c>
      <c r="O1502" s="4"/>
      <c r="P1502" s="4"/>
      <c r="Q1502" s="11">
        <v>0</v>
      </c>
      <c r="R1502" s="4"/>
      <c r="S1502" s="12"/>
    </row>
    <row r="1503" spans="1:19" x14ac:dyDescent="0.25">
      <c r="A1503" s="9" t="s">
        <v>485</v>
      </c>
      <c r="B1503" s="9" t="s">
        <v>485</v>
      </c>
      <c r="C1503" s="4">
        <v>201001480</v>
      </c>
      <c r="D1503" s="4"/>
      <c r="E1503" s="4" t="str">
        <f>"029552010"</f>
        <v>029552010</v>
      </c>
      <c r="F1503" s="10">
        <v>40192</v>
      </c>
      <c r="G1503" s="11">
        <v>5915.35</v>
      </c>
      <c r="H1503" s="11">
        <v>5915.35</v>
      </c>
      <c r="I1503" s="4" t="s">
        <v>366</v>
      </c>
      <c r="J1503" s="4" t="s">
        <v>367</v>
      </c>
      <c r="K1503" s="11">
        <v>0</v>
      </c>
      <c r="L1503" s="4"/>
      <c r="M1503" s="4"/>
      <c r="N1503" s="11">
        <v>0</v>
      </c>
      <c r="O1503" s="4"/>
      <c r="P1503" s="4"/>
      <c r="Q1503" s="11">
        <v>0</v>
      </c>
      <c r="R1503" s="4"/>
      <c r="S1503" s="12"/>
    </row>
    <row r="1504" spans="1:19" x14ac:dyDescent="0.25">
      <c r="A1504" s="9" t="s">
        <v>485</v>
      </c>
      <c r="B1504" s="9" t="s">
        <v>485</v>
      </c>
      <c r="C1504" s="4">
        <v>201001481</v>
      </c>
      <c r="D1504" s="4"/>
      <c r="E1504" s="4" t="str">
        <f>"036002010"</f>
        <v>036002010</v>
      </c>
      <c r="F1504" s="10">
        <v>40213</v>
      </c>
      <c r="G1504" s="11">
        <v>4142.87</v>
      </c>
      <c r="H1504" s="11">
        <v>4142.87</v>
      </c>
      <c r="I1504" s="4" t="s">
        <v>366</v>
      </c>
      <c r="J1504" s="4" t="s">
        <v>367</v>
      </c>
      <c r="K1504" s="11">
        <v>0</v>
      </c>
      <c r="L1504" s="4"/>
      <c r="M1504" s="4"/>
      <c r="N1504" s="11">
        <v>0</v>
      </c>
      <c r="O1504" s="4"/>
      <c r="P1504" s="4"/>
      <c r="Q1504" s="11">
        <v>0</v>
      </c>
      <c r="R1504" s="4"/>
      <c r="S1504" s="12"/>
    </row>
    <row r="1505" spans="1:19" x14ac:dyDescent="0.25">
      <c r="A1505" s="9" t="s">
        <v>485</v>
      </c>
      <c r="B1505" s="9" t="s">
        <v>485</v>
      </c>
      <c r="C1505" s="4">
        <v>201001482</v>
      </c>
      <c r="D1505" s="4"/>
      <c r="E1505" s="4" t="str">
        <f>"032942010"</f>
        <v>032942010</v>
      </c>
      <c r="F1505" s="10">
        <v>40200</v>
      </c>
      <c r="G1505" s="11">
        <v>4640</v>
      </c>
      <c r="H1505" s="11">
        <v>4640</v>
      </c>
      <c r="I1505" s="4" t="s">
        <v>366</v>
      </c>
      <c r="J1505" s="4" t="s">
        <v>367</v>
      </c>
      <c r="K1505" s="11">
        <v>0</v>
      </c>
      <c r="L1505" s="4"/>
      <c r="M1505" s="4"/>
      <c r="N1505" s="11">
        <v>0</v>
      </c>
      <c r="O1505" s="4"/>
      <c r="P1505" s="4"/>
      <c r="Q1505" s="11">
        <v>0</v>
      </c>
      <c r="R1505" s="4"/>
      <c r="S1505" s="12"/>
    </row>
    <row r="1506" spans="1:19" x14ac:dyDescent="0.25">
      <c r="A1506" s="9" t="s">
        <v>485</v>
      </c>
      <c r="B1506" s="9" t="s">
        <v>485</v>
      </c>
      <c r="C1506" s="4">
        <v>201001483</v>
      </c>
      <c r="D1506" s="4"/>
      <c r="E1506" s="4" t="str">
        <f>"031662010"</f>
        <v>031662010</v>
      </c>
      <c r="F1506" s="10">
        <v>40198</v>
      </c>
      <c r="G1506" s="11">
        <v>25000</v>
      </c>
      <c r="H1506" s="11">
        <v>25000</v>
      </c>
      <c r="I1506" s="4" t="s">
        <v>366</v>
      </c>
      <c r="J1506" s="4" t="s">
        <v>367</v>
      </c>
      <c r="K1506" s="11">
        <v>0</v>
      </c>
      <c r="L1506" s="4"/>
      <c r="M1506" s="4"/>
      <c r="N1506" s="11">
        <v>0</v>
      </c>
      <c r="O1506" s="4"/>
      <c r="P1506" s="4"/>
      <c r="Q1506" s="11">
        <v>0</v>
      </c>
      <c r="R1506" s="4"/>
      <c r="S1506" s="12"/>
    </row>
    <row r="1507" spans="1:19" x14ac:dyDescent="0.25">
      <c r="A1507" s="9" t="s">
        <v>485</v>
      </c>
      <c r="B1507" s="9" t="s">
        <v>485</v>
      </c>
      <c r="C1507" s="4">
        <v>201001492</v>
      </c>
      <c r="D1507" s="4" t="s">
        <v>2038</v>
      </c>
      <c r="E1507" s="4" t="str">
        <f>"029242010"</f>
        <v>029242010</v>
      </c>
      <c r="F1507" s="10">
        <v>40192</v>
      </c>
      <c r="G1507" s="11">
        <v>5733.57</v>
      </c>
      <c r="H1507" s="11">
        <v>5733.57</v>
      </c>
      <c r="I1507" s="4" t="s">
        <v>366</v>
      </c>
      <c r="J1507" s="4" t="s">
        <v>367</v>
      </c>
      <c r="K1507" s="11">
        <v>0</v>
      </c>
      <c r="L1507" s="4"/>
      <c r="M1507" s="4"/>
      <c r="N1507" s="11">
        <v>0</v>
      </c>
      <c r="O1507" s="4"/>
      <c r="P1507" s="4"/>
      <c r="Q1507" s="11">
        <v>0</v>
      </c>
      <c r="R1507" s="4"/>
      <c r="S1507" s="12"/>
    </row>
    <row r="1508" spans="1:19" x14ac:dyDescent="0.25">
      <c r="A1508" s="9" t="s">
        <v>485</v>
      </c>
      <c r="B1508" s="9" t="s">
        <v>485</v>
      </c>
      <c r="C1508" s="4">
        <v>201001494</v>
      </c>
      <c r="D1508" s="4" t="s">
        <v>2534</v>
      </c>
      <c r="E1508" s="4" t="str">
        <f>"029732010"</f>
        <v>029732010</v>
      </c>
      <c r="F1508" s="10">
        <v>40192</v>
      </c>
      <c r="G1508" s="11">
        <v>7437.08</v>
      </c>
      <c r="H1508" s="11">
        <v>5949.66</v>
      </c>
      <c r="I1508" s="4" t="s">
        <v>366</v>
      </c>
      <c r="J1508" s="4" t="s">
        <v>367</v>
      </c>
      <c r="K1508" s="11">
        <v>1487.42</v>
      </c>
      <c r="L1508" s="4" t="s">
        <v>366</v>
      </c>
      <c r="M1508" s="4" t="s">
        <v>367</v>
      </c>
      <c r="N1508" s="11">
        <v>0</v>
      </c>
      <c r="O1508" s="4"/>
      <c r="P1508" s="4"/>
      <c r="Q1508" s="11">
        <v>0</v>
      </c>
      <c r="R1508" s="4"/>
      <c r="S1508" s="12"/>
    </row>
    <row r="1509" spans="1:19" x14ac:dyDescent="0.25">
      <c r="A1509" s="9" t="s">
        <v>485</v>
      </c>
      <c r="B1509" s="9" t="s">
        <v>485</v>
      </c>
      <c r="C1509" s="4">
        <v>201001512</v>
      </c>
      <c r="D1509" s="4"/>
      <c r="E1509" s="4" t="str">
        <f>"029182010"</f>
        <v>029182010</v>
      </c>
      <c r="F1509" s="10">
        <v>40192</v>
      </c>
      <c r="G1509" s="11">
        <v>4000</v>
      </c>
      <c r="H1509" s="11">
        <v>4000</v>
      </c>
      <c r="I1509" s="4" t="s">
        <v>366</v>
      </c>
      <c r="J1509" s="4" t="s">
        <v>367</v>
      </c>
      <c r="K1509" s="11">
        <v>0</v>
      </c>
      <c r="L1509" s="4"/>
      <c r="M1509" s="4"/>
      <c r="N1509" s="11">
        <v>0</v>
      </c>
      <c r="O1509" s="4"/>
      <c r="P1509" s="4"/>
      <c r="Q1509" s="11">
        <v>0</v>
      </c>
      <c r="R1509" s="4"/>
      <c r="S1509" s="12"/>
    </row>
    <row r="1510" spans="1:19" x14ac:dyDescent="0.25">
      <c r="A1510" s="9" t="s">
        <v>485</v>
      </c>
      <c r="B1510" s="9" t="s">
        <v>485</v>
      </c>
      <c r="C1510" s="4">
        <v>201001513</v>
      </c>
      <c r="D1510" s="4"/>
      <c r="E1510" s="4" t="str">
        <f>"029162010"</f>
        <v>029162010</v>
      </c>
      <c r="F1510" s="10">
        <v>40191</v>
      </c>
      <c r="G1510" s="11">
        <v>2613.96</v>
      </c>
      <c r="H1510" s="11">
        <v>2613.96</v>
      </c>
      <c r="I1510" s="4" t="s">
        <v>366</v>
      </c>
      <c r="J1510" s="4" t="s">
        <v>367</v>
      </c>
      <c r="K1510" s="11">
        <v>0</v>
      </c>
      <c r="L1510" s="4"/>
      <c r="M1510" s="4"/>
      <c r="N1510" s="11">
        <v>0</v>
      </c>
      <c r="O1510" s="4"/>
      <c r="P1510" s="4"/>
      <c r="Q1510" s="11">
        <v>0</v>
      </c>
      <c r="R1510" s="4"/>
      <c r="S1510" s="12"/>
    </row>
    <row r="1511" spans="1:19" x14ac:dyDescent="0.25">
      <c r="A1511" s="9" t="s">
        <v>485</v>
      </c>
      <c r="B1511" s="9" t="s">
        <v>485</v>
      </c>
      <c r="C1511" s="4">
        <v>201001521</v>
      </c>
      <c r="D1511" s="4" t="s">
        <v>2039</v>
      </c>
      <c r="E1511" s="4" t="str">
        <f>"029512010"</f>
        <v>029512010</v>
      </c>
      <c r="F1511" s="10">
        <v>40191</v>
      </c>
      <c r="G1511" s="11">
        <v>525000</v>
      </c>
      <c r="H1511" s="11">
        <v>525000</v>
      </c>
      <c r="I1511" s="4" t="s">
        <v>687</v>
      </c>
      <c r="J1511" s="4" t="s">
        <v>688</v>
      </c>
      <c r="K1511" s="11">
        <v>0</v>
      </c>
      <c r="L1511" s="4"/>
      <c r="M1511" s="4"/>
      <c r="N1511" s="11">
        <v>0</v>
      </c>
      <c r="O1511" s="4"/>
      <c r="P1511" s="4"/>
      <c r="Q1511" s="11">
        <v>0</v>
      </c>
      <c r="R1511" s="4"/>
      <c r="S1511" s="12"/>
    </row>
    <row r="1512" spans="1:19" x14ac:dyDescent="0.25">
      <c r="A1512" s="9" t="s">
        <v>485</v>
      </c>
      <c r="B1512" s="9" t="s">
        <v>485</v>
      </c>
      <c r="C1512" s="4">
        <v>201001525</v>
      </c>
      <c r="D1512" s="4"/>
      <c r="E1512" s="4" t="str">
        <f>"029342010"</f>
        <v>029342010</v>
      </c>
      <c r="F1512" s="10">
        <v>40192</v>
      </c>
      <c r="G1512" s="11">
        <v>3353.12</v>
      </c>
      <c r="H1512" s="11">
        <v>3353.12</v>
      </c>
      <c r="I1512" s="4" t="s">
        <v>366</v>
      </c>
      <c r="J1512" s="4" t="s">
        <v>367</v>
      </c>
      <c r="K1512" s="11">
        <v>0</v>
      </c>
      <c r="L1512" s="4"/>
      <c r="M1512" s="4"/>
      <c r="N1512" s="11">
        <v>0</v>
      </c>
      <c r="O1512" s="4"/>
      <c r="P1512" s="4"/>
      <c r="Q1512" s="11">
        <v>0</v>
      </c>
      <c r="R1512" s="4"/>
      <c r="S1512" s="12"/>
    </row>
    <row r="1513" spans="1:19" x14ac:dyDescent="0.25">
      <c r="A1513" s="9" t="s">
        <v>485</v>
      </c>
      <c r="B1513" s="9" t="s">
        <v>485</v>
      </c>
      <c r="C1513" s="4">
        <v>201001527</v>
      </c>
      <c r="D1513" s="4" t="s">
        <v>2040</v>
      </c>
      <c r="E1513" s="4" t="str">
        <f>"029322010"</f>
        <v>029322010</v>
      </c>
      <c r="F1513" s="10">
        <v>40192</v>
      </c>
      <c r="G1513" s="11">
        <v>15000</v>
      </c>
      <c r="H1513" s="11">
        <v>15000</v>
      </c>
      <c r="I1513" s="4" t="s">
        <v>366</v>
      </c>
      <c r="J1513" s="4" t="s">
        <v>367</v>
      </c>
      <c r="K1513" s="11">
        <v>0</v>
      </c>
      <c r="L1513" s="4"/>
      <c r="M1513" s="4"/>
      <c r="N1513" s="11">
        <v>0</v>
      </c>
      <c r="O1513" s="4"/>
      <c r="P1513" s="4"/>
      <c r="Q1513" s="11">
        <v>0</v>
      </c>
      <c r="R1513" s="4"/>
      <c r="S1513" s="12"/>
    </row>
    <row r="1514" spans="1:19" x14ac:dyDescent="0.25">
      <c r="A1514" s="9" t="s">
        <v>485</v>
      </c>
      <c r="B1514" s="9" t="s">
        <v>485</v>
      </c>
      <c r="C1514" s="4">
        <v>201001566</v>
      </c>
      <c r="D1514" s="4"/>
      <c r="E1514" s="4" t="str">
        <f>"029992010"</f>
        <v>029992010</v>
      </c>
      <c r="F1514" s="10">
        <v>40192</v>
      </c>
      <c r="G1514" s="11">
        <v>4233.17</v>
      </c>
      <c r="H1514" s="11">
        <v>4233.17</v>
      </c>
      <c r="I1514" s="4" t="s">
        <v>366</v>
      </c>
      <c r="J1514" s="4" t="s">
        <v>367</v>
      </c>
      <c r="K1514" s="11">
        <v>0</v>
      </c>
      <c r="L1514" s="4"/>
      <c r="M1514" s="4"/>
      <c r="N1514" s="11">
        <v>0</v>
      </c>
      <c r="O1514" s="4"/>
      <c r="P1514" s="4"/>
      <c r="Q1514" s="11">
        <v>0</v>
      </c>
      <c r="R1514" s="4"/>
      <c r="S1514" s="12"/>
    </row>
    <row r="1515" spans="1:19" x14ac:dyDescent="0.25">
      <c r="A1515" s="9" t="s">
        <v>485</v>
      </c>
      <c r="B1515" s="9" t="s">
        <v>485</v>
      </c>
      <c r="C1515" s="4">
        <v>201001585</v>
      </c>
      <c r="D1515" s="4"/>
      <c r="E1515" s="4" t="str">
        <f>"030842010"</f>
        <v>030842010</v>
      </c>
      <c r="F1515" s="10">
        <v>40193</v>
      </c>
      <c r="G1515" s="11">
        <v>11070.17</v>
      </c>
      <c r="H1515" s="11">
        <v>11070.17</v>
      </c>
      <c r="I1515" s="4" t="s">
        <v>366</v>
      </c>
      <c r="J1515" s="4" t="s">
        <v>367</v>
      </c>
      <c r="K1515" s="11">
        <v>0</v>
      </c>
      <c r="L1515" s="4"/>
      <c r="M1515" s="4"/>
      <c r="N1515" s="11">
        <v>0</v>
      </c>
      <c r="O1515" s="4"/>
      <c r="P1515" s="4"/>
      <c r="Q1515" s="11">
        <v>0</v>
      </c>
      <c r="R1515" s="4"/>
      <c r="S1515" s="12"/>
    </row>
    <row r="1516" spans="1:19" x14ac:dyDescent="0.25">
      <c r="A1516" s="9" t="s">
        <v>485</v>
      </c>
      <c r="B1516" s="9" t="s">
        <v>485</v>
      </c>
      <c r="C1516" s="4">
        <v>201001587</v>
      </c>
      <c r="D1516" s="4"/>
      <c r="E1516" s="4" t="str">
        <f>"031082010"</f>
        <v>031082010</v>
      </c>
      <c r="F1516" s="10">
        <v>40197</v>
      </c>
      <c r="G1516" s="11">
        <v>6000</v>
      </c>
      <c r="H1516" s="11">
        <v>6000</v>
      </c>
      <c r="I1516" s="4" t="s">
        <v>54</v>
      </c>
      <c r="J1516" s="4" t="s">
        <v>55</v>
      </c>
      <c r="K1516" s="11">
        <v>0</v>
      </c>
      <c r="L1516" s="4"/>
      <c r="M1516" s="4"/>
      <c r="N1516" s="11">
        <v>0</v>
      </c>
      <c r="O1516" s="4"/>
      <c r="P1516" s="4"/>
      <c r="Q1516" s="11">
        <v>0</v>
      </c>
      <c r="R1516" s="4"/>
      <c r="S1516" s="12"/>
    </row>
    <row r="1517" spans="1:19" x14ac:dyDescent="0.25">
      <c r="A1517" s="9" t="s">
        <v>485</v>
      </c>
      <c r="B1517" s="9" t="s">
        <v>485</v>
      </c>
      <c r="C1517" s="4">
        <v>201001594</v>
      </c>
      <c r="D1517" s="4"/>
      <c r="E1517" s="4" t="str">
        <f>"032142010"</f>
        <v>032142010</v>
      </c>
      <c r="F1517" s="10">
        <v>40200</v>
      </c>
      <c r="G1517" s="11">
        <v>2571.14</v>
      </c>
      <c r="H1517" s="11">
        <v>2571.14</v>
      </c>
      <c r="I1517" s="4" t="s">
        <v>366</v>
      </c>
      <c r="J1517" s="4" t="s">
        <v>367</v>
      </c>
      <c r="K1517" s="11">
        <v>0</v>
      </c>
      <c r="L1517" s="4"/>
      <c r="M1517" s="4"/>
      <c r="N1517" s="11">
        <v>0</v>
      </c>
      <c r="O1517" s="4"/>
      <c r="P1517" s="4"/>
      <c r="Q1517" s="11">
        <v>0</v>
      </c>
      <c r="R1517" s="4"/>
      <c r="S1517" s="12"/>
    </row>
    <row r="1518" spans="1:19" x14ac:dyDescent="0.25">
      <c r="A1518" s="9" t="s">
        <v>485</v>
      </c>
      <c r="B1518" s="9" t="s">
        <v>485</v>
      </c>
      <c r="C1518" s="4">
        <v>201001597</v>
      </c>
      <c r="D1518" s="4"/>
      <c r="E1518" s="4" t="str">
        <f>"031062010"</f>
        <v>031062010</v>
      </c>
      <c r="F1518" s="10">
        <v>40197</v>
      </c>
      <c r="G1518" s="11">
        <v>3361</v>
      </c>
      <c r="H1518" s="11">
        <v>3361</v>
      </c>
      <c r="I1518" s="4" t="s">
        <v>366</v>
      </c>
      <c r="J1518" s="4" t="s">
        <v>367</v>
      </c>
      <c r="K1518" s="11">
        <v>0</v>
      </c>
      <c r="L1518" s="4"/>
      <c r="M1518" s="4"/>
      <c r="N1518" s="11">
        <v>0</v>
      </c>
      <c r="O1518" s="4"/>
      <c r="P1518" s="4"/>
      <c r="Q1518" s="11">
        <v>0</v>
      </c>
      <c r="R1518" s="4"/>
      <c r="S1518" s="12"/>
    </row>
    <row r="1519" spans="1:19" x14ac:dyDescent="0.25">
      <c r="A1519" s="9" t="s">
        <v>485</v>
      </c>
      <c r="B1519" s="9" t="s">
        <v>485</v>
      </c>
      <c r="C1519" s="4">
        <v>201001610</v>
      </c>
      <c r="D1519" s="4"/>
      <c r="E1519" s="4" t="str">
        <f>"031642010"</f>
        <v>031642010</v>
      </c>
      <c r="F1519" s="10">
        <v>40198</v>
      </c>
      <c r="G1519" s="11">
        <v>12000</v>
      </c>
      <c r="H1519" s="11">
        <v>12000</v>
      </c>
      <c r="I1519" s="4" t="s">
        <v>366</v>
      </c>
      <c r="J1519" s="4" t="s">
        <v>367</v>
      </c>
      <c r="K1519" s="11">
        <v>0</v>
      </c>
      <c r="L1519" s="4"/>
      <c r="M1519" s="4"/>
      <c r="N1519" s="11">
        <v>0</v>
      </c>
      <c r="O1519" s="4"/>
      <c r="P1519" s="4"/>
      <c r="Q1519" s="11">
        <v>0</v>
      </c>
      <c r="R1519" s="4"/>
      <c r="S1519" s="12"/>
    </row>
    <row r="1520" spans="1:19" x14ac:dyDescent="0.25">
      <c r="A1520" s="9" t="s">
        <v>485</v>
      </c>
      <c r="B1520" s="9" t="s">
        <v>485</v>
      </c>
      <c r="C1520" s="4">
        <v>201001616</v>
      </c>
      <c r="D1520" s="4"/>
      <c r="E1520" s="4" t="str">
        <f>"031362010"</f>
        <v>031362010</v>
      </c>
      <c r="F1520" s="10">
        <v>40200</v>
      </c>
      <c r="G1520" s="11">
        <v>24572</v>
      </c>
      <c r="H1520" s="11">
        <v>24572</v>
      </c>
      <c r="I1520" s="4" t="s">
        <v>366</v>
      </c>
      <c r="J1520" s="4" t="s">
        <v>367</v>
      </c>
      <c r="K1520" s="11">
        <v>0</v>
      </c>
      <c r="L1520" s="4"/>
      <c r="M1520" s="4"/>
      <c r="N1520" s="11">
        <v>0</v>
      </c>
      <c r="O1520" s="4"/>
      <c r="P1520" s="4"/>
      <c r="Q1520" s="11">
        <v>0</v>
      </c>
      <c r="R1520" s="4"/>
      <c r="S1520" s="12"/>
    </row>
    <row r="1521" spans="1:19" x14ac:dyDescent="0.25">
      <c r="A1521" s="9" t="s">
        <v>485</v>
      </c>
      <c r="B1521" s="9" t="s">
        <v>485</v>
      </c>
      <c r="C1521" s="4">
        <v>201001624</v>
      </c>
      <c r="D1521" s="4"/>
      <c r="E1521" s="4" t="str">
        <f>"033382010"</f>
        <v>033382010</v>
      </c>
      <c r="F1521" s="10">
        <v>40203</v>
      </c>
      <c r="G1521" s="11">
        <v>4311.8999999999996</v>
      </c>
      <c r="H1521" s="11">
        <v>4311.8999999999996</v>
      </c>
      <c r="I1521" s="4" t="s">
        <v>366</v>
      </c>
      <c r="J1521" s="4" t="s">
        <v>367</v>
      </c>
      <c r="K1521" s="11">
        <v>0</v>
      </c>
      <c r="L1521" s="4"/>
      <c r="M1521" s="4"/>
      <c r="N1521" s="11">
        <v>0</v>
      </c>
      <c r="O1521" s="4"/>
      <c r="P1521" s="4"/>
      <c r="Q1521" s="11">
        <v>0</v>
      </c>
      <c r="R1521" s="4"/>
      <c r="S1521" s="12"/>
    </row>
    <row r="1522" spans="1:19" x14ac:dyDescent="0.25">
      <c r="A1522" s="9" t="s">
        <v>485</v>
      </c>
      <c r="B1522" s="9" t="s">
        <v>485</v>
      </c>
      <c r="C1522" s="4">
        <v>201001627</v>
      </c>
      <c r="D1522" s="4"/>
      <c r="E1522" s="4" t="str">
        <f>"033122010"</f>
        <v>033122010</v>
      </c>
      <c r="F1522" s="10">
        <v>40200</v>
      </c>
      <c r="G1522" s="11">
        <v>2506.5100000000002</v>
      </c>
      <c r="H1522" s="11">
        <v>2506.5100000000002</v>
      </c>
      <c r="I1522" s="4" t="s">
        <v>54</v>
      </c>
      <c r="J1522" s="4" t="s">
        <v>55</v>
      </c>
      <c r="K1522" s="11">
        <v>0</v>
      </c>
      <c r="L1522" s="4"/>
      <c r="M1522" s="4"/>
      <c r="N1522" s="11">
        <v>0</v>
      </c>
      <c r="O1522" s="4"/>
      <c r="P1522" s="4"/>
      <c r="Q1522" s="11">
        <v>0</v>
      </c>
      <c r="R1522" s="4"/>
      <c r="S1522" s="12"/>
    </row>
    <row r="1523" spans="1:19" x14ac:dyDescent="0.25">
      <c r="A1523" s="9" t="s">
        <v>485</v>
      </c>
      <c r="B1523" s="9" t="s">
        <v>485</v>
      </c>
      <c r="C1523" s="4">
        <v>201001631</v>
      </c>
      <c r="D1523" s="4" t="s">
        <v>2041</v>
      </c>
      <c r="E1523" s="4" t="str">
        <f>"035582010"</f>
        <v>035582010</v>
      </c>
      <c r="F1523" s="10">
        <v>40213</v>
      </c>
      <c r="G1523" s="11">
        <v>20000</v>
      </c>
      <c r="H1523" s="11">
        <v>20000</v>
      </c>
      <c r="I1523" s="4" t="s">
        <v>366</v>
      </c>
      <c r="J1523" s="4" t="s">
        <v>367</v>
      </c>
      <c r="K1523" s="11">
        <v>0</v>
      </c>
      <c r="L1523" s="4"/>
      <c r="M1523" s="4"/>
      <c r="N1523" s="11">
        <v>0</v>
      </c>
      <c r="O1523" s="4"/>
      <c r="P1523" s="4"/>
      <c r="Q1523" s="11">
        <v>0</v>
      </c>
      <c r="R1523" s="4"/>
      <c r="S1523" s="12"/>
    </row>
    <row r="1524" spans="1:19" x14ac:dyDescent="0.25">
      <c r="A1524" s="9" t="s">
        <v>485</v>
      </c>
      <c r="B1524" s="9" t="s">
        <v>485</v>
      </c>
      <c r="C1524" s="4">
        <v>201001632</v>
      </c>
      <c r="D1524" s="4"/>
      <c r="E1524" s="4" t="str">
        <f>"035602010"</f>
        <v>035602010</v>
      </c>
      <c r="F1524" s="10">
        <v>40213</v>
      </c>
      <c r="G1524" s="11">
        <v>8883.7900000000009</v>
      </c>
      <c r="H1524" s="11">
        <v>8883.7900000000009</v>
      </c>
      <c r="I1524" s="4" t="s">
        <v>366</v>
      </c>
      <c r="J1524" s="4" t="s">
        <v>367</v>
      </c>
      <c r="K1524" s="11">
        <v>0</v>
      </c>
      <c r="L1524" s="4"/>
      <c r="M1524" s="4"/>
      <c r="N1524" s="11">
        <v>0</v>
      </c>
      <c r="O1524" s="4"/>
      <c r="P1524" s="4"/>
      <c r="Q1524" s="11">
        <v>0</v>
      </c>
      <c r="R1524" s="4"/>
      <c r="S1524" s="12"/>
    </row>
    <row r="1525" spans="1:19" x14ac:dyDescent="0.25">
      <c r="A1525" s="9" t="s">
        <v>485</v>
      </c>
      <c r="B1525" s="9" t="s">
        <v>485</v>
      </c>
      <c r="C1525" s="4">
        <v>201001642</v>
      </c>
      <c r="D1525" s="4"/>
      <c r="E1525" s="4" t="str">
        <f>"032022010"</f>
        <v>032022010</v>
      </c>
      <c r="F1525" s="10">
        <v>40199</v>
      </c>
      <c r="G1525" s="11">
        <v>4892.3</v>
      </c>
      <c r="H1525" s="11">
        <v>4892.3</v>
      </c>
      <c r="I1525" s="4" t="s">
        <v>366</v>
      </c>
      <c r="J1525" s="4" t="s">
        <v>367</v>
      </c>
      <c r="K1525" s="11">
        <v>0</v>
      </c>
      <c r="L1525" s="4"/>
      <c r="M1525" s="4"/>
      <c r="N1525" s="11">
        <v>0</v>
      </c>
      <c r="O1525" s="4"/>
      <c r="P1525" s="4"/>
      <c r="Q1525" s="11">
        <v>0</v>
      </c>
      <c r="R1525" s="4"/>
      <c r="S1525" s="12"/>
    </row>
    <row r="1526" spans="1:19" x14ac:dyDescent="0.25">
      <c r="A1526" s="9" t="s">
        <v>485</v>
      </c>
      <c r="B1526" s="9" t="s">
        <v>485</v>
      </c>
      <c r="C1526" s="4">
        <v>201001648</v>
      </c>
      <c r="D1526" s="4"/>
      <c r="E1526" s="4" t="str">
        <f>"031822010"</f>
        <v>031822010</v>
      </c>
      <c r="F1526" s="10">
        <v>40198</v>
      </c>
      <c r="G1526" s="11">
        <v>2716.29</v>
      </c>
      <c r="H1526" s="11">
        <v>2716.29</v>
      </c>
      <c r="I1526" s="4" t="s">
        <v>366</v>
      </c>
      <c r="J1526" s="4" t="s">
        <v>367</v>
      </c>
      <c r="K1526" s="11">
        <v>0</v>
      </c>
      <c r="L1526" s="4"/>
      <c r="M1526" s="4"/>
      <c r="N1526" s="11">
        <v>0</v>
      </c>
      <c r="O1526" s="4"/>
      <c r="P1526" s="4"/>
      <c r="Q1526" s="11">
        <v>0</v>
      </c>
      <c r="R1526" s="4"/>
      <c r="S1526" s="12"/>
    </row>
    <row r="1527" spans="1:19" x14ac:dyDescent="0.25">
      <c r="A1527" s="9" t="s">
        <v>485</v>
      </c>
      <c r="B1527" s="9" t="s">
        <v>485</v>
      </c>
      <c r="C1527" s="4">
        <v>201001652</v>
      </c>
      <c r="D1527" s="4"/>
      <c r="E1527" s="4" t="str">
        <f>"032442010"</f>
        <v>032442010</v>
      </c>
      <c r="F1527" s="10">
        <v>40200</v>
      </c>
      <c r="G1527" s="11">
        <v>14549.89</v>
      </c>
      <c r="H1527" s="11">
        <v>14549.89</v>
      </c>
      <c r="I1527" s="4" t="s">
        <v>366</v>
      </c>
      <c r="J1527" s="4" t="s">
        <v>367</v>
      </c>
      <c r="K1527" s="11">
        <v>0</v>
      </c>
      <c r="L1527" s="4"/>
      <c r="M1527" s="4"/>
      <c r="N1527" s="11">
        <v>0</v>
      </c>
      <c r="O1527" s="4"/>
      <c r="P1527" s="4"/>
      <c r="Q1527" s="11">
        <v>0</v>
      </c>
      <c r="R1527" s="4"/>
      <c r="S1527" s="12"/>
    </row>
    <row r="1528" spans="1:19" x14ac:dyDescent="0.25">
      <c r="A1528" s="9" t="s">
        <v>485</v>
      </c>
      <c r="B1528" s="9" t="s">
        <v>485</v>
      </c>
      <c r="C1528" s="4">
        <v>201001654</v>
      </c>
      <c r="D1528" s="4"/>
      <c r="E1528" s="4" t="str">
        <f>"031922010"</f>
        <v>031922010</v>
      </c>
      <c r="F1528" s="10">
        <v>40199</v>
      </c>
      <c r="G1528" s="11">
        <v>2679</v>
      </c>
      <c r="H1528" s="11">
        <v>2679</v>
      </c>
      <c r="I1528" s="4" t="s">
        <v>366</v>
      </c>
      <c r="J1528" s="4" t="s">
        <v>367</v>
      </c>
      <c r="K1528" s="11">
        <v>0</v>
      </c>
      <c r="L1528" s="4"/>
      <c r="M1528" s="4"/>
      <c r="N1528" s="11">
        <v>0</v>
      </c>
      <c r="O1528" s="4"/>
      <c r="P1528" s="4"/>
      <c r="Q1528" s="11">
        <v>0</v>
      </c>
      <c r="R1528" s="4"/>
      <c r="S1528" s="12"/>
    </row>
    <row r="1529" spans="1:19" x14ac:dyDescent="0.25">
      <c r="A1529" s="9" t="s">
        <v>485</v>
      </c>
      <c r="B1529" s="9" t="s">
        <v>485</v>
      </c>
      <c r="C1529" s="4">
        <v>201001655</v>
      </c>
      <c r="D1529" s="4"/>
      <c r="E1529" s="4" t="str">
        <f>"031862010"</f>
        <v>031862010</v>
      </c>
      <c r="F1529" s="10">
        <v>40198</v>
      </c>
      <c r="G1529" s="11">
        <v>4437</v>
      </c>
      <c r="H1529" s="11">
        <v>4437</v>
      </c>
      <c r="I1529" s="4" t="s">
        <v>54</v>
      </c>
      <c r="J1529" s="4" t="s">
        <v>55</v>
      </c>
      <c r="K1529" s="11">
        <v>0</v>
      </c>
      <c r="L1529" s="4"/>
      <c r="M1529" s="4"/>
      <c r="N1529" s="11">
        <v>0</v>
      </c>
      <c r="O1529" s="4"/>
      <c r="P1529" s="4"/>
      <c r="Q1529" s="11">
        <v>0</v>
      </c>
      <c r="R1529" s="4"/>
      <c r="S1529" s="12"/>
    </row>
    <row r="1530" spans="1:19" x14ac:dyDescent="0.25">
      <c r="A1530" s="9" t="s">
        <v>485</v>
      </c>
      <c r="B1530" s="9" t="s">
        <v>485</v>
      </c>
      <c r="C1530" s="4">
        <v>201001658</v>
      </c>
      <c r="D1530" s="4"/>
      <c r="E1530" s="4" t="str">
        <f>"032422010"</f>
        <v>032422010</v>
      </c>
      <c r="F1530" s="10">
        <v>40200</v>
      </c>
      <c r="G1530" s="11">
        <v>3144.64</v>
      </c>
      <c r="H1530" s="11">
        <v>3144.64</v>
      </c>
      <c r="I1530" s="4" t="s">
        <v>366</v>
      </c>
      <c r="J1530" s="4" t="s">
        <v>367</v>
      </c>
      <c r="K1530" s="11">
        <v>0</v>
      </c>
      <c r="L1530" s="4"/>
      <c r="M1530" s="4"/>
      <c r="N1530" s="11">
        <v>0</v>
      </c>
      <c r="O1530" s="4"/>
      <c r="P1530" s="4"/>
      <c r="Q1530" s="11">
        <v>0</v>
      </c>
      <c r="R1530" s="4"/>
      <c r="S1530" s="12"/>
    </row>
    <row r="1531" spans="1:19" x14ac:dyDescent="0.25">
      <c r="A1531" s="9" t="s">
        <v>485</v>
      </c>
      <c r="B1531" s="9" t="s">
        <v>485</v>
      </c>
      <c r="C1531" s="4">
        <v>201001662</v>
      </c>
      <c r="D1531" s="4"/>
      <c r="E1531" s="4" t="str">
        <f>"038442010"</f>
        <v>038442010</v>
      </c>
      <c r="F1531" s="10">
        <v>40227</v>
      </c>
      <c r="G1531" s="11">
        <v>6027.32</v>
      </c>
      <c r="H1531" s="11">
        <v>6027.32</v>
      </c>
      <c r="I1531" s="4" t="s">
        <v>366</v>
      </c>
      <c r="J1531" s="4" t="s">
        <v>367</v>
      </c>
      <c r="K1531" s="11">
        <v>0</v>
      </c>
      <c r="L1531" s="4"/>
      <c r="M1531" s="4"/>
      <c r="N1531" s="11">
        <v>0</v>
      </c>
      <c r="O1531" s="4"/>
      <c r="P1531" s="4"/>
      <c r="Q1531" s="11">
        <v>0</v>
      </c>
      <c r="R1531" s="4"/>
      <c r="S1531" s="12"/>
    </row>
    <row r="1532" spans="1:19" x14ac:dyDescent="0.25">
      <c r="A1532" s="9" t="s">
        <v>485</v>
      </c>
      <c r="B1532" s="9" t="s">
        <v>485</v>
      </c>
      <c r="C1532" s="4">
        <v>201001665</v>
      </c>
      <c r="D1532" s="4"/>
      <c r="E1532" s="4" t="str">
        <f>"032782010"</f>
        <v>032782010</v>
      </c>
      <c r="F1532" s="10">
        <v>40200</v>
      </c>
      <c r="G1532" s="11">
        <v>7940.25</v>
      </c>
      <c r="H1532" s="11">
        <v>7940.25</v>
      </c>
      <c r="I1532" s="4" t="s">
        <v>366</v>
      </c>
      <c r="J1532" s="4" t="s">
        <v>367</v>
      </c>
      <c r="K1532" s="11">
        <v>0</v>
      </c>
      <c r="L1532" s="4"/>
      <c r="M1532" s="4"/>
      <c r="N1532" s="11">
        <v>0</v>
      </c>
      <c r="O1532" s="4"/>
      <c r="P1532" s="4"/>
      <c r="Q1532" s="11">
        <v>0</v>
      </c>
      <c r="R1532" s="4"/>
      <c r="S1532" s="12"/>
    </row>
    <row r="1533" spans="1:19" x14ac:dyDescent="0.25">
      <c r="A1533" s="9" t="s">
        <v>485</v>
      </c>
      <c r="B1533" s="9" t="s">
        <v>485</v>
      </c>
      <c r="C1533" s="4">
        <v>201001680</v>
      </c>
      <c r="D1533" s="4" t="s">
        <v>2042</v>
      </c>
      <c r="E1533" s="4" t="str">
        <f>"033562010"</f>
        <v>033562010</v>
      </c>
      <c r="F1533" s="10">
        <v>40205</v>
      </c>
      <c r="G1533" s="11">
        <v>15000</v>
      </c>
      <c r="H1533" s="11">
        <v>15000</v>
      </c>
      <c r="I1533" s="4" t="s">
        <v>931</v>
      </c>
      <c r="J1533" s="4" t="s">
        <v>932</v>
      </c>
      <c r="K1533" s="11">
        <v>0</v>
      </c>
      <c r="L1533" s="4"/>
      <c r="M1533" s="4"/>
      <c r="N1533" s="11">
        <v>0</v>
      </c>
      <c r="O1533" s="4"/>
      <c r="P1533" s="4"/>
      <c r="Q1533" s="11">
        <v>0</v>
      </c>
      <c r="R1533" s="4"/>
      <c r="S1533" s="12"/>
    </row>
    <row r="1534" spans="1:19" x14ac:dyDescent="0.25">
      <c r="A1534" s="9" t="s">
        <v>485</v>
      </c>
      <c r="B1534" s="9" t="s">
        <v>485</v>
      </c>
      <c r="C1534" s="4">
        <v>201001719</v>
      </c>
      <c r="D1534" s="4"/>
      <c r="E1534" s="4" t="str">
        <f>"046622010"</f>
        <v>046622010</v>
      </c>
      <c r="F1534" s="10">
        <v>40252</v>
      </c>
      <c r="G1534" s="11">
        <v>3130.43</v>
      </c>
      <c r="H1534" s="11">
        <v>3130.43</v>
      </c>
      <c r="I1534" s="4" t="s">
        <v>366</v>
      </c>
      <c r="J1534" s="4" t="s">
        <v>367</v>
      </c>
      <c r="K1534" s="11">
        <v>0</v>
      </c>
      <c r="L1534" s="4"/>
      <c r="M1534" s="4"/>
      <c r="N1534" s="11">
        <v>0</v>
      </c>
      <c r="O1534" s="4"/>
      <c r="P1534" s="4"/>
      <c r="Q1534" s="11">
        <v>0</v>
      </c>
      <c r="R1534" s="4"/>
      <c r="S1534" s="12"/>
    </row>
    <row r="1535" spans="1:19" x14ac:dyDescent="0.25">
      <c r="A1535" s="9" t="s">
        <v>485</v>
      </c>
      <c r="B1535" s="9" t="s">
        <v>485</v>
      </c>
      <c r="C1535" s="4">
        <v>201001743</v>
      </c>
      <c r="D1535" s="4"/>
      <c r="E1535" s="4" t="str">
        <f>"033922010"</f>
        <v>033922010</v>
      </c>
      <c r="F1535" s="10">
        <v>40205</v>
      </c>
      <c r="G1535" s="11">
        <v>4554.59</v>
      </c>
      <c r="H1535" s="11">
        <v>4554.59</v>
      </c>
      <c r="I1535" s="4" t="s">
        <v>366</v>
      </c>
      <c r="J1535" s="4" t="s">
        <v>367</v>
      </c>
      <c r="K1535" s="11">
        <v>0</v>
      </c>
      <c r="L1535" s="4"/>
      <c r="M1535" s="4"/>
      <c r="N1535" s="11">
        <v>0</v>
      </c>
      <c r="O1535" s="4"/>
      <c r="P1535" s="4"/>
      <c r="Q1535" s="11">
        <v>0</v>
      </c>
      <c r="R1535" s="4"/>
      <c r="S1535" s="12"/>
    </row>
    <row r="1536" spans="1:19" x14ac:dyDescent="0.25">
      <c r="A1536" s="9" t="s">
        <v>485</v>
      </c>
      <c r="B1536" s="9" t="s">
        <v>485</v>
      </c>
      <c r="C1536" s="4">
        <v>201001750</v>
      </c>
      <c r="D1536" s="4" t="s">
        <v>2043</v>
      </c>
      <c r="E1536" s="4" t="str">
        <f>"037242010"</f>
        <v>037242010</v>
      </c>
      <c r="F1536" s="10">
        <v>40214</v>
      </c>
      <c r="G1536" s="11">
        <v>12000</v>
      </c>
      <c r="H1536" s="11">
        <v>12000</v>
      </c>
      <c r="I1536" s="4" t="s">
        <v>366</v>
      </c>
      <c r="J1536" s="4" t="s">
        <v>367</v>
      </c>
      <c r="K1536" s="11">
        <v>0</v>
      </c>
      <c r="L1536" s="4"/>
      <c r="M1536" s="4"/>
      <c r="N1536" s="11">
        <v>0</v>
      </c>
      <c r="O1536" s="4"/>
      <c r="P1536" s="4"/>
      <c r="Q1536" s="11">
        <v>0</v>
      </c>
      <c r="R1536" s="4"/>
      <c r="S1536" s="12"/>
    </row>
    <row r="1537" spans="1:19" x14ac:dyDescent="0.25">
      <c r="A1537" s="9" t="s">
        <v>485</v>
      </c>
      <c r="B1537" s="9" t="s">
        <v>485</v>
      </c>
      <c r="C1537" s="4">
        <v>201001753</v>
      </c>
      <c r="D1537" s="4"/>
      <c r="E1537" s="4" t="str">
        <f>"034142010"</f>
        <v>034142010</v>
      </c>
      <c r="F1537" s="10">
        <v>40205</v>
      </c>
      <c r="G1537" s="11">
        <v>6177.91</v>
      </c>
      <c r="H1537" s="11">
        <v>6177.91</v>
      </c>
      <c r="I1537" s="4" t="s">
        <v>366</v>
      </c>
      <c r="J1537" s="4" t="s">
        <v>367</v>
      </c>
      <c r="K1537" s="11">
        <v>0</v>
      </c>
      <c r="L1537" s="4"/>
      <c r="M1537" s="4"/>
      <c r="N1537" s="11">
        <v>0</v>
      </c>
      <c r="O1537" s="4"/>
      <c r="P1537" s="4"/>
      <c r="Q1537" s="11">
        <v>0</v>
      </c>
      <c r="R1537" s="4"/>
      <c r="S1537" s="12"/>
    </row>
    <row r="1538" spans="1:19" x14ac:dyDescent="0.25">
      <c r="A1538" s="9" t="s">
        <v>485</v>
      </c>
      <c r="B1538" s="9" t="s">
        <v>485</v>
      </c>
      <c r="C1538" s="4">
        <v>201001754</v>
      </c>
      <c r="D1538" s="4"/>
      <c r="E1538" s="4" t="str">
        <f>"034162010"</f>
        <v>034162010</v>
      </c>
      <c r="F1538" s="10">
        <v>40205</v>
      </c>
      <c r="G1538" s="11">
        <v>14651.56</v>
      </c>
      <c r="H1538" s="11">
        <v>14651.56</v>
      </c>
      <c r="I1538" s="4" t="s">
        <v>366</v>
      </c>
      <c r="J1538" s="4" t="s">
        <v>367</v>
      </c>
      <c r="K1538" s="11">
        <v>0</v>
      </c>
      <c r="L1538" s="4"/>
      <c r="M1538" s="4"/>
      <c r="N1538" s="11">
        <v>0</v>
      </c>
      <c r="O1538" s="4"/>
      <c r="P1538" s="4"/>
      <c r="Q1538" s="11">
        <v>0</v>
      </c>
      <c r="R1538" s="4"/>
      <c r="S1538" s="12"/>
    </row>
    <row r="1539" spans="1:19" x14ac:dyDescent="0.25">
      <c r="A1539" s="9" t="s">
        <v>485</v>
      </c>
      <c r="B1539" s="9" t="s">
        <v>485</v>
      </c>
      <c r="C1539" s="4">
        <v>201001762</v>
      </c>
      <c r="D1539" s="4" t="s">
        <v>2044</v>
      </c>
      <c r="E1539" s="4" t="str">
        <f>"034282010"</f>
        <v>034282010</v>
      </c>
      <c r="F1539" s="10">
        <v>40205</v>
      </c>
      <c r="G1539" s="11">
        <v>4000</v>
      </c>
      <c r="H1539" s="11">
        <v>4000</v>
      </c>
      <c r="I1539" s="4" t="s">
        <v>366</v>
      </c>
      <c r="J1539" s="4" t="s">
        <v>367</v>
      </c>
      <c r="K1539" s="11">
        <v>0</v>
      </c>
      <c r="L1539" s="4"/>
      <c r="M1539" s="4"/>
      <c r="N1539" s="11">
        <v>0</v>
      </c>
      <c r="O1539" s="4"/>
      <c r="P1539" s="4"/>
      <c r="Q1539" s="11">
        <v>0</v>
      </c>
      <c r="R1539" s="4"/>
      <c r="S1539" s="12"/>
    </row>
    <row r="1540" spans="1:19" x14ac:dyDescent="0.25">
      <c r="A1540" s="9" t="s">
        <v>485</v>
      </c>
      <c r="B1540" s="9" t="s">
        <v>485</v>
      </c>
      <c r="C1540" s="4">
        <v>201001767</v>
      </c>
      <c r="D1540" s="4" t="s">
        <v>2045</v>
      </c>
      <c r="E1540" s="4" t="str">
        <f>"035202010"</f>
        <v>035202010</v>
      </c>
      <c r="F1540" s="10">
        <v>40213</v>
      </c>
      <c r="G1540" s="11">
        <v>30000</v>
      </c>
      <c r="H1540" s="11">
        <v>30000</v>
      </c>
      <c r="I1540" s="4" t="s">
        <v>366</v>
      </c>
      <c r="J1540" s="4" t="s">
        <v>367</v>
      </c>
      <c r="K1540" s="11">
        <v>0</v>
      </c>
      <c r="L1540" s="4"/>
      <c r="M1540" s="4"/>
      <c r="N1540" s="11">
        <v>0</v>
      </c>
      <c r="O1540" s="4"/>
      <c r="P1540" s="4"/>
      <c r="Q1540" s="11">
        <v>0</v>
      </c>
      <c r="R1540" s="4"/>
      <c r="S1540" s="12"/>
    </row>
    <row r="1541" spans="1:19" x14ac:dyDescent="0.25">
      <c r="A1541" s="9" t="s">
        <v>485</v>
      </c>
      <c r="B1541" s="9" t="s">
        <v>485</v>
      </c>
      <c r="C1541" s="4">
        <v>201001796</v>
      </c>
      <c r="D1541" s="4" t="s">
        <v>2046</v>
      </c>
      <c r="E1541" s="4" t="str">
        <f>"034752010"</f>
        <v>034752010</v>
      </c>
      <c r="F1541" s="10">
        <v>40212</v>
      </c>
      <c r="G1541" s="11">
        <v>16000</v>
      </c>
      <c r="H1541" s="11">
        <v>16000</v>
      </c>
      <c r="I1541" s="4" t="s">
        <v>366</v>
      </c>
      <c r="J1541" s="4" t="s">
        <v>367</v>
      </c>
      <c r="K1541" s="11">
        <v>0</v>
      </c>
      <c r="L1541" s="4"/>
      <c r="M1541" s="4"/>
      <c r="N1541" s="11">
        <v>0</v>
      </c>
      <c r="O1541" s="4"/>
      <c r="P1541" s="4"/>
      <c r="Q1541" s="11">
        <v>0</v>
      </c>
      <c r="R1541" s="4"/>
      <c r="S1541" s="12"/>
    </row>
    <row r="1542" spans="1:19" x14ac:dyDescent="0.25">
      <c r="A1542" s="9" t="s">
        <v>485</v>
      </c>
      <c r="B1542" s="9" t="s">
        <v>485</v>
      </c>
      <c r="C1542" s="4">
        <v>201001820</v>
      </c>
      <c r="D1542" s="4"/>
      <c r="E1542" s="4" t="str">
        <f>"035102010"</f>
        <v>035102010</v>
      </c>
      <c r="F1542" s="10">
        <v>40212</v>
      </c>
      <c r="G1542" s="11">
        <v>6335.66</v>
      </c>
      <c r="H1542" s="11">
        <v>6335.66</v>
      </c>
      <c r="I1542" s="4" t="s">
        <v>366</v>
      </c>
      <c r="J1542" s="4" t="s">
        <v>367</v>
      </c>
      <c r="K1542" s="11">
        <v>0</v>
      </c>
      <c r="L1542" s="4"/>
      <c r="M1542" s="4"/>
      <c r="N1542" s="11">
        <v>0</v>
      </c>
      <c r="O1542" s="4"/>
      <c r="P1542" s="4"/>
      <c r="Q1542" s="11">
        <v>0</v>
      </c>
      <c r="R1542" s="4"/>
      <c r="S1542" s="12"/>
    </row>
    <row r="1543" spans="1:19" x14ac:dyDescent="0.25">
      <c r="A1543" s="9" t="s">
        <v>485</v>
      </c>
      <c r="B1543" s="9" t="s">
        <v>485</v>
      </c>
      <c r="C1543" s="4">
        <v>201001822</v>
      </c>
      <c r="D1543" s="4" t="s">
        <v>2047</v>
      </c>
      <c r="E1543" s="4" t="str">
        <f>"038962010"</f>
        <v>038962010</v>
      </c>
      <c r="F1543" s="10">
        <v>40228</v>
      </c>
      <c r="G1543" s="11">
        <v>774500</v>
      </c>
      <c r="H1543" s="11">
        <v>774500</v>
      </c>
      <c r="I1543" s="4" t="s">
        <v>1859</v>
      </c>
      <c r="J1543" s="4" t="s">
        <v>1860</v>
      </c>
      <c r="K1543" s="11">
        <v>0</v>
      </c>
      <c r="L1543" s="4"/>
      <c r="M1543" s="4"/>
      <c r="N1543" s="11">
        <v>0</v>
      </c>
      <c r="O1543" s="4"/>
      <c r="P1543" s="4"/>
      <c r="Q1543" s="11">
        <v>0</v>
      </c>
      <c r="R1543" s="4"/>
      <c r="S1543" s="12"/>
    </row>
    <row r="1544" spans="1:19" x14ac:dyDescent="0.25">
      <c r="A1544" s="9" t="s">
        <v>485</v>
      </c>
      <c r="B1544" s="9" t="s">
        <v>485</v>
      </c>
      <c r="C1544" s="4">
        <v>201001849</v>
      </c>
      <c r="D1544" s="4" t="s">
        <v>2048</v>
      </c>
      <c r="E1544" s="4" t="str">
        <f>"039742010"</f>
        <v>039742010</v>
      </c>
      <c r="F1544" s="10">
        <v>40232</v>
      </c>
      <c r="G1544" s="11">
        <v>25689.200000000001</v>
      </c>
      <c r="H1544" s="11">
        <v>25689.200000000001</v>
      </c>
      <c r="I1544" s="4" t="s">
        <v>366</v>
      </c>
      <c r="J1544" s="4" t="s">
        <v>367</v>
      </c>
      <c r="K1544" s="11">
        <v>0</v>
      </c>
      <c r="L1544" s="4"/>
      <c r="M1544" s="4"/>
      <c r="N1544" s="11">
        <v>0</v>
      </c>
      <c r="O1544" s="4"/>
      <c r="P1544" s="4"/>
      <c r="Q1544" s="11">
        <v>0</v>
      </c>
      <c r="R1544" s="4"/>
      <c r="S1544" s="12"/>
    </row>
    <row r="1545" spans="1:19" x14ac:dyDescent="0.25">
      <c r="A1545" s="9" t="s">
        <v>485</v>
      </c>
      <c r="B1545" s="9" t="s">
        <v>485</v>
      </c>
      <c r="C1545" s="4">
        <v>201001853</v>
      </c>
      <c r="D1545" s="4"/>
      <c r="E1545" s="4" t="str">
        <f>"035802010"</f>
        <v>035802010</v>
      </c>
      <c r="F1545" s="10">
        <v>40213</v>
      </c>
      <c r="G1545" s="11">
        <v>6599.79</v>
      </c>
      <c r="H1545" s="11">
        <v>6599.79</v>
      </c>
      <c r="I1545" s="4" t="s">
        <v>366</v>
      </c>
      <c r="J1545" s="4" t="s">
        <v>367</v>
      </c>
      <c r="K1545" s="11">
        <v>0</v>
      </c>
      <c r="L1545" s="4"/>
      <c r="M1545" s="4"/>
      <c r="N1545" s="11">
        <v>0</v>
      </c>
      <c r="O1545" s="4"/>
      <c r="P1545" s="4"/>
      <c r="Q1545" s="11">
        <v>0</v>
      </c>
      <c r="R1545" s="4"/>
      <c r="S1545" s="12"/>
    </row>
    <row r="1546" spans="1:19" x14ac:dyDescent="0.25">
      <c r="A1546" s="9" t="s">
        <v>485</v>
      </c>
      <c r="B1546" s="9" t="s">
        <v>485</v>
      </c>
      <c r="C1546" s="4">
        <v>201001856</v>
      </c>
      <c r="D1546" s="4"/>
      <c r="E1546" s="4" t="str">
        <f>"035682010"</f>
        <v>035682010</v>
      </c>
      <c r="F1546" s="10">
        <v>40213</v>
      </c>
      <c r="G1546" s="11">
        <v>6971.1</v>
      </c>
      <c r="H1546" s="11">
        <v>6971.1</v>
      </c>
      <c r="I1546" s="4" t="s">
        <v>366</v>
      </c>
      <c r="J1546" s="4" t="s">
        <v>367</v>
      </c>
      <c r="K1546" s="11">
        <v>0</v>
      </c>
      <c r="L1546" s="4"/>
      <c r="M1546" s="4"/>
      <c r="N1546" s="11">
        <v>0</v>
      </c>
      <c r="O1546" s="4"/>
      <c r="P1546" s="4"/>
      <c r="Q1546" s="11">
        <v>0</v>
      </c>
      <c r="R1546" s="4"/>
      <c r="S1546" s="12"/>
    </row>
    <row r="1547" spans="1:19" x14ac:dyDescent="0.25">
      <c r="A1547" s="9" t="s">
        <v>485</v>
      </c>
      <c r="B1547" s="9" t="s">
        <v>485</v>
      </c>
      <c r="C1547" s="4">
        <v>201001864</v>
      </c>
      <c r="D1547" s="4"/>
      <c r="E1547" s="4" t="str">
        <f>"036182010"</f>
        <v>036182010</v>
      </c>
      <c r="F1547" s="10">
        <v>40213</v>
      </c>
      <c r="G1547" s="11">
        <v>6579.9</v>
      </c>
      <c r="H1547" s="11">
        <v>6579.9</v>
      </c>
      <c r="I1547" s="4" t="s">
        <v>366</v>
      </c>
      <c r="J1547" s="4" t="s">
        <v>367</v>
      </c>
      <c r="K1547" s="11">
        <v>0</v>
      </c>
      <c r="L1547" s="4"/>
      <c r="M1547" s="4"/>
      <c r="N1547" s="11">
        <v>0</v>
      </c>
      <c r="O1547" s="4"/>
      <c r="P1547" s="4"/>
      <c r="Q1547" s="11">
        <v>0</v>
      </c>
      <c r="R1547" s="4"/>
      <c r="S1547" s="12"/>
    </row>
    <row r="1548" spans="1:19" x14ac:dyDescent="0.25">
      <c r="A1548" s="9" t="s">
        <v>485</v>
      </c>
      <c r="B1548" s="9" t="s">
        <v>485</v>
      </c>
      <c r="C1548" s="4">
        <v>201001873</v>
      </c>
      <c r="D1548" s="4" t="s">
        <v>2534</v>
      </c>
      <c r="E1548" s="4" t="str">
        <f>"039182010"</f>
        <v>039182010</v>
      </c>
      <c r="F1548" s="10">
        <v>40228</v>
      </c>
      <c r="G1548" s="11">
        <v>100000</v>
      </c>
      <c r="H1548" s="11">
        <v>80000</v>
      </c>
      <c r="I1548" s="4" t="s">
        <v>366</v>
      </c>
      <c r="J1548" s="4" t="s">
        <v>367</v>
      </c>
      <c r="K1548" s="11">
        <v>20000</v>
      </c>
      <c r="L1548" s="4" t="s">
        <v>366</v>
      </c>
      <c r="M1548" s="4" t="s">
        <v>367</v>
      </c>
      <c r="N1548" s="11">
        <v>0</v>
      </c>
      <c r="O1548" s="4"/>
      <c r="P1548" s="4"/>
      <c r="Q1548" s="11">
        <v>0</v>
      </c>
      <c r="R1548" s="4"/>
      <c r="S1548" s="12"/>
    </row>
    <row r="1549" spans="1:19" x14ac:dyDescent="0.25">
      <c r="A1549" s="9" t="s">
        <v>485</v>
      </c>
      <c r="B1549" s="9" t="s">
        <v>485</v>
      </c>
      <c r="C1549" s="4">
        <v>201001882</v>
      </c>
      <c r="D1549" s="4"/>
      <c r="E1549" s="4" t="str">
        <f>"038092010"</f>
        <v>038092010</v>
      </c>
      <c r="F1549" s="10">
        <v>40227</v>
      </c>
      <c r="G1549" s="11">
        <v>6986.39</v>
      </c>
      <c r="H1549" s="11">
        <v>6986.39</v>
      </c>
      <c r="I1549" s="4" t="s">
        <v>366</v>
      </c>
      <c r="J1549" s="4" t="s">
        <v>367</v>
      </c>
      <c r="K1549" s="11">
        <v>0</v>
      </c>
      <c r="L1549" s="4"/>
      <c r="M1549" s="4"/>
      <c r="N1549" s="11">
        <v>0</v>
      </c>
      <c r="O1549" s="4"/>
      <c r="P1549" s="4"/>
      <c r="Q1549" s="11">
        <v>0</v>
      </c>
      <c r="R1549" s="4"/>
      <c r="S1549" s="12"/>
    </row>
    <row r="1550" spans="1:19" x14ac:dyDescent="0.25">
      <c r="A1550" s="9" t="s">
        <v>485</v>
      </c>
      <c r="B1550" s="9" t="s">
        <v>485</v>
      </c>
      <c r="C1550" s="4">
        <v>201001890</v>
      </c>
      <c r="D1550" s="4"/>
      <c r="E1550" s="4" t="str">
        <f>"038052010"</f>
        <v>038052010</v>
      </c>
      <c r="F1550" s="10">
        <v>40227</v>
      </c>
      <c r="G1550" s="11">
        <v>7235.36</v>
      </c>
      <c r="H1550" s="11">
        <v>7235.36</v>
      </c>
      <c r="I1550" s="4" t="s">
        <v>366</v>
      </c>
      <c r="J1550" s="4" t="s">
        <v>367</v>
      </c>
      <c r="K1550" s="11">
        <v>0</v>
      </c>
      <c r="L1550" s="4"/>
      <c r="M1550" s="4"/>
      <c r="N1550" s="11">
        <v>0</v>
      </c>
      <c r="O1550" s="4"/>
      <c r="P1550" s="4"/>
      <c r="Q1550" s="11">
        <v>0</v>
      </c>
      <c r="R1550" s="4"/>
      <c r="S1550" s="12"/>
    </row>
    <row r="1551" spans="1:19" x14ac:dyDescent="0.25">
      <c r="A1551" s="9" t="s">
        <v>485</v>
      </c>
      <c r="B1551" s="9" t="s">
        <v>485</v>
      </c>
      <c r="C1551" s="4">
        <v>201001892</v>
      </c>
      <c r="D1551" s="4"/>
      <c r="E1551" s="4" t="str">
        <f>"036282010"</f>
        <v>036282010</v>
      </c>
      <c r="F1551" s="10">
        <v>40213</v>
      </c>
      <c r="G1551" s="11">
        <v>4547.5600000000004</v>
      </c>
      <c r="H1551" s="11">
        <v>4547.5600000000004</v>
      </c>
      <c r="I1551" s="4" t="s">
        <v>366</v>
      </c>
      <c r="J1551" s="4" t="s">
        <v>367</v>
      </c>
      <c r="K1551" s="11">
        <v>0</v>
      </c>
      <c r="L1551" s="4"/>
      <c r="M1551" s="4"/>
      <c r="N1551" s="11">
        <v>0</v>
      </c>
      <c r="O1551" s="4"/>
      <c r="P1551" s="4"/>
      <c r="Q1551" s="11">
        <v>0</v>
      </c>
      <c r="R1551" s="4"/>
      <c r="S1551" s="12"/>
    </row>
    <row r="1552" spans="1:19" x14ac:dyDescent="0.25">
      <c r="A1552" s="9" t="s">
        <v>485</v>
      </c>
      <c r="B1552" s="9" t="s">
        <v>485</v>
      </c>
      <c r="C1552" s="4">
        <v>201001893</v>
      </c>
      <c r="D1552" s="4" t="s">
        <v>2049</v>
      </c>
      <c r="E1552" s="4" t="str">
        <f>"036242010"</f>
        <v>036242010</v>
      </c>
      <c r="F1552" s="10">
        <v>40213</v>
      </c>
      <c r="G1552" s="11">
        <v>11000</v>
      </c>
      <c r="H1552" s="11">
        <v>11000</v>
      </c>
      <c r="I1552" s="4" t="s">
        <v>366</v>
      </c>
      <c r="J1552" s="4" t="s">
        <v>367</v>
      </c>
      <c r="K1552" s="11">
        <v>0</v>
      </c>
      <c r="L1552" s="4"/>
      <c r="M1552" s="4"/>
      <c r="N1552" s="11">
        <v>0</v>
      </c>
      <c r="O1552" s="4"/>
      <c r="P1552" s="4"/>
      <c r="Q1552" s="11">
        <v>0</v>
      </c>
      <c r="R1552" s="4"/>
      <c r="S1552" s="12"/>
    </row>
    <row r="1553" spans="1:19" x14ac:dyDescent="0.25">
      <c r="A1553" s="9" t="s">
        <v>485</v>
      </c>
      <c r="B1553" s="9" t="s">
        <v>485</v>
      </c>
      <c r="C1553" s="4">
        <v>201001897</v>
      </c>
      <c r="D1553" s="4"/>
      <c r="E1553" s="4" t="str">
        <f>"036462010"</f>
        <v>036462010</v>
      </c>
      <c r="F1553" s="10">
        <v>40213</v>
      </c>
      <c r="G1553" s="11">
        <v>6183.8</v>
      </c>
      <c r="H1553" s="11">
        <v>6183.8</v>
      </c>
      <c r="I1553" s="4" t="s">
        <v>366</v>
      </c>
      <c r="J1553" s="4" t="s">
        <v>367</v>
      </c>
      <c r="K1553" s="11">
        <v>0</v>
      </c>
      <c r="L1553" s="4"/>
      <c r="M1553" s="4"/>
      <c r="N1553" s="11">
        <v>0</v>
      </c>
      <c r="O1553" s="4"/>
      <c r="P1553" s="4"/>
      <c r="Q1553" s="11">
        <v>0</v>
      </c>
      <c r="R1553" s="4"/>
      <c r="S1553" s="12"/>
    </row>
    <row r="1554" spans="1:19" x14ac:dyDescent="0.25">
      <c r="A1554" s="9" t="s">
        <v>485</v>
      </c>
      <c r="B1554" s="9" t="s">
        <v>485</v>
      </c>
      <c r="C1554" s="4">
        <v>201001903</v>
      </c>
      <c r="D1554" s="4"/>
      <c r="E1554" s="4" t="str">
        <f>"041542010"</f>
        <v>041542010</v>
      </c>
      <c r="F1554" s="10">
        <v>40240</v>
      </c>
      <c r="G1554" s="11">
        <v>2954</v>
      </c>
      <c r="H1554" s="11">
        <v>2954</v>
      </c>
      <c r="I1554" s="4" t="s">
        <v>366</v>
      </c>
      <c r="J1554" s="4" t="s">
        <v>367</v>
      </c>
      <c r="K1554" s="11">
        <v>0</v>
      </c>
      <c r="L1554" s="4"/>
      <c r="M1554" s="4"/>
      <c r="N1554" s="11">
        <v>0</v>
      </c>
      <c r="O1554" s="4"/>
      <c r="P1554" s="4"/>
      <c r="Q1554" s="11">
        <v>0</v>
      </c>
      <c r="R1554" s="4"/>
      <c r="S1554" s="12"/>
    </row>
    <row r="1555" spans="1:19" x14ac:dyDescent="0.25">
      <c r="A1555" s="9" t="s">
        <v>485</v>
      </c>
      <c r="B1555" s="9" t="s">
        <v>485</v>
      </c>
      <c r="C1555" s="4">
        <v>201001904</v>
      </c>
      <c r="D1555" s="4"/>
      <c r="E1555" s="4" t="str">
        <f>"038982010"</f>
        <v>038982010</v>
      </c>
      <c r="F1555" s="10">
        <v>40228</v>
      </c>
      <c r="G1555" s="11">
        <v>3911.64</v>
      </c>
      <c r="H1555" s="11">
        <v>3911.64</v>
      </c>
      <c r="I1555" s="4" t="s">
        <v>366</v>
      </c>
      <c r="J1555" s="4" t="s">
        <v>367</v>
      </c>
      <c r="K1555" s="11">
        <v>0</v>
      </c>
      <c r="L1555" s="4"/>
      <c r="M1555" s="4"/>
      <c r="N1555" s="11">
        <v>0</v>
      </c>
      <c r="O1555" s="4"/>
      <c r="P1555" s="4"/>
      <c r="Q1555" s="11">
        <v>0</v>
      </c>
      <c r="R1555" s="4"/>
      <c r="S1555" s="12"/>
    </row>
    <row r="1556" spans="1:19" x14ac:dyDescent="0.25">
      <c r="A1556" s="9" t="s">
        <v>485</v>
      </c>
      <c r="B1556" s="9" t="s">
        <v>485</v>
      </c>
      <c r="C1556" s="4">
        <v>201001910</v>
      </c>
      <c r="D1556" s="4"/>
      <c r="E1556" s="4" t="str">
        <f>"037042010"</f>
        <v>037042010</v>
      </c>
      <c r="F1556" s="10">
        <v>40214</v>
      </c>
      <c r="G1556" s="11">
        <v>3511.26</v>
      </c>
      <c r="H1556" s="11">
        <v>3511.26</v>
      </c>
      <c r="I1556" s="4" t="s">
        <v>366</v>
      </c>
      <c r="J1556" s="4" t="s">
        <v>367</v>
      </c>
      <c r="K1556" s="11">
        <v>0</v>
      </c>
      <c r="L1556" s="4"/>
      <c r="M1556" s="4"/>
      <c r="N1556" s="11">
        <v>0</v>
      </c>
      <c r="O1556" s="4"/>
      <c r="P1556" s="4"/>
      <c r="Q1556" s="11">
        <v>0</v>
      </c>
      <c r="R1556" s="4"/>
      <c r="S1556" s="12"/>
    </row>
    <row r="1557" spans="1:19" x14ac:dyDescent="0.25">
      <c r="A1557" s="9" t="s">
        <v>485</v>
      </c>
      <c r="B1557" s="9" t="s">
        <v>485</v>
      </c>
      <c r="C1557" s="4">
        <v>201001911</v>
      </c>
      <c r="D1557" s="4"/>
      <c r="E1557" s="4" t="str">
        <f>"037402010"</f>
        <v>037402010</v>
      </c>
      <c r="F1557" s="10">
        <v>40214</v>
      </c>
      <c r="G1557" s="11">
        <v>12643.96</v>
      </c>
      <c r="H1557" s="11">
        <v>12643.96</v>
      </c>
      <c r="I1557" s="4" t="s">
        <v>366</v>
      </c>
      <c r="J1557" s="4" t="s">
        <v>367</v>
      </c>
      <c r="K1557" s="11">
        <v>0</v>
      </c>
      <c r="L1557" s="4"/>
      <c r="M1557" s="4"/>
      <c r="N1557" s="11">
        <v>0</v>
      </c>
      <c r="O1557" s="4"/>
      <c r="P1557" s="4"/>
      <c r="Q1557" s="11">
        <v>0</v>
      </c>
      <c r="R1557" s="4"/>
      <c r="S1557" s="12"/>
    </row>
    <row r="1558" spans="1:19" x14ac:dyDescent="0.25">
      <c r="A1558" s="9" t="s">
        <v>485</v>
      </c>
      <c r="B1558" s="9" t="s">
        <v>485</v>
      </c>
      <c r="C1558" s="4">
        <v>201001922</v>
      </c>
      <c r="D1558" s="4" t="s">
        <v>2050</v>
      </c>
      <c r="E1558" s="4" t="str">
        <f>"037492010"</f>
        <v>037492010</v>
      </c>
      <c r="F1558" s="10">
        <v>40214</v>
      </c>
      <c r="G1558" s="11">
        <v>8000</v>
      </c>
      <c r="H1558" s="11">
        <v>8000</v>
      </c>
      <c r="I1558" s="4" t="s">
        <v>366</v>
      </c>
      <c r="J1558" s="4" t="s">
        <v>367</v>
      </c>
      <c r="K1558" s="11">
        <v>0</v>
      </c>
      <c r="L1558" s="4"/>
      <c r="M1558" s="4"/>
      <c r="N1558" s="11">
        <v>0</v>
      </c>
      <c r="O1558" s="4"/>
      <c r="P1558" s="4"/>
      <c r="Q1558" s="11">
        <v>0</v>
      </c>
      <c r="R1558" s="4"/>
      <c r="S1558" s="12"/>
    </row>
    <row r="1559" spans="1:19" x14ac:dyDescent="0.25">
      <c r="A1559" s="9" t="s">
        <v>485</v>
      </c>
      <c r="B1559" s="9" t="s">
        <v>485</v>
      </c>
      <c r="C1559" s="4">
        <v>201001934</v>
      </c>
      <c r="D1559" s="4" t="s">
        <v>2051</v>
      </c>
      <c r="E1559" s="4" t="str">
        <f>"037702010"</f>
        <v>037702010</v>
      </c>
      <c r="F1559" s="10">
        <v>40226</v>
      </c>
      <c r="G1559" s="11">
        <v>13000</v>
      </c>
      <c r="H1559" s="11">
        <v>13000</v>
      </c>
      <c r="I1559" s="4" t="s">
        <v>366</v>
      </c>
      <c r="J1559" s="4" t="s">
        <v>367</v>
      </c>
      <c r="K1559" s="11">
        <v>0</v>
      </c>
      <c r="L1559" s="4"/>
      <c r="M1559" s="4"/>
      <c r="N1559" s="11">
        <v>0</v>
      </c>
      <c r="O1559" s="4"/>
      <c r="P1559" s="4"/>
      <c r="Q1559" s="11">
        <v>0</v>
      </c>
      <c r="R1559" s="4"/>
      <c r="S1559" s="12"/>
    </row>
    <row r="1560" spans="1:19" x14ac:dyDescent="0.25">
      <c r="A1560" s="9" t="s">
        <v>485</v>
      </c>
      <c r="B1560" s="9" t="s">
        <v>485</v>
      </c>
      <c r="C1560" s="4">
        <v>201001935</v>
      </c>
      <c r="D1560" s="4"/>
      <c r="E1560" s="4" t="str">
        <f>"037722010"</f>
        <v>037722010</v>
      </c>
      <c r="F1560" s="10">
        <v>40226</v>
      </c>
      <c r="G1560" s="11">
        <v>3265.98</v>
      </c>
      <c r="H1560" s="11">
        <v>3265.98</v>
      </c>
      <c r="I1560" s="4" t="s">
        <v>366</v>
      </c>
      <c r="J1560" s="4" t="s">
        <v>367</v>
      </c>
      <c r="K1560" s="11">
        <v>0</v>
      </c>
      <c r="L1560" s="4"/>
      <c r="M1560" s="4"/>
      <c r="N1560" s="11">
        <v>0</v>
      </c>
      <c r="O1560" s="4"/>
      <c r="P1560" s="4"/>
      <c r="Q1560" s="11">
        <v>0</v>
      </c>
      <c r="R1560" s="4"/>
      <c r="S1560" s="12"/>
    </row>
    <row r="1561" spans="1:19" x14ac:dyDescent="0.25">
      <c r="A1561" s="9" t="s">
        <v>485</v>
      </c>
      <c r="B1561" s="9" t="s">
        <v>485</v>
      </c>
      <c r="C1561" s="4">
        <v>201001937</v>
      </c>
      <c r="D1561" s="4" t="s">
        <v>2052</v>
      </c>
      <c r="E1561" s="4" t="str">
        <f>"037992010"</f>
        <v>037992010</v>
      </c>
      <c r="F1561" s="10">
        <v>40227</v>
      </c>
      <c r="G1561" s="11">
        <v>15000</v>
      </c>
      <c r="H1561" s="11">
        <v>15000</v>
      </c>
      <c r="I1561" s="4" t="s">
        <v>366</v>
      </c>
      <c r="J1561" s="4" t="s">
        <v>367</v>
      </c>
      <c r="K1561" s="11">
        <v>0</v>
      </c>
      <c r="L1561" s="4"/>
      <c r="M1561" s="4"/>
      <c r="N1561" s="11">
        <v>0</v>
      </c>
      <c r="O1561" s="4"/>
      <c r="P1561" s="4"/>
      <c r="Q1561" s="11">
        <v>0</v>
      </c>
      <c r="R1561" s="4"/>
      <c r="S1561" s="12"/>
    </row>
    <row r="1562" spans="1:19" x14ac:dyDescent="0.25">
      <c r="A1562" s="9" t="s">
        <v>485</v>
      </c>
      <c r="B1562" s="9" t="s">
        <v>485</v>
      </c>
      <c r="C1562" s="4">
        <v>201001938</v>
      </c>
      <c r="D1562" s="4"/>
      <c r="E1562" s="4" t="str">
        <f>"037952010"</f>
        <v>037952010</v>
      </c>
      <c r="F1562" s="10">
        <v>40227</v>
      </c>
      <c r="G1562" s="11">
        <v>25368.799999999999</v>
      </c>
      <c r="H1562" s="11">
        <v>25368.799999999999</v>
      </c>
      <c r="I1562" s="4" t="s">
        <v>366</v>
      </c>
      <c r="J1562" s="4" t="s">
        <v>367</v>
      </c>
      <c r="K1562" s="11">
        <v>0</v>
      </c>
      <c r="L1562" s="4"/>
      <c r="M1562" s="4"/>
      <c r="N1562" s="11">
        <v>0</v>
      </c>
      <c r="O1562" s="4"/>
      <c r="P1562" s="4"/>
      <c r="Q1562" s="11">
        <v>0</v>
      </c>
      <c r="R1562" s="4"/>
      <c r="S1562" s="12"/>
    </row>
    <row r="1563" spans="1:19" x14ac:dyDescent="0.25">
      <c r="A1563" s="9" t="s">
        <v>485</v>
      </c>
      <c r="B1563" s="9" t="s">
        <v>485</v>
      </c>
      <c r="C1563" s="4">
        <v>201001967</v>
      </c>
      <c r="D1563" s="4"/>
      <c r="E1563" s="4" t="str">
        <f>"039602010"</f>
        <v>039602010</v>
      </c>
      <c r="F1563" s="10">
        <v>40232</v>
      </c>
      <c r="G1563" s="11">
        <v>2668.52</v>
      </c>
      <c r="H1563" s="11">
        <v>2668.52</v>
      </c>
      <c r="I1563" s="4" t="s">
        <v>366</v>
      </c>
      <c r="J1563" s="4" t="s">
        <v>367</v>
      </c>
      <c r="K1563" s="11">
        <v>0</v>
      </c>
      <c r="L1563" s="4"/>
      <c r="M1563" s="4"/>
      <c r="N1563" s="11">
        <v>0</v>
      </c>
      <c r="O1563" s="4"/>
      <c r="P1563" s="4"/>
      <c r="Q1563" s="11">
        <v>0</v>
      </c>
      <c r="R1563" s="4"/>
      <c r="S1563" s="12"/>
    </row>
    <row r="1564" spans="1:19" x14ac:dyDescent="0.25">
      <c r="A1564" s="9" t="s">
        <v>485</v>
      </c>
      <c r="B1564" s="9" t="s">
        <v>485</v>
      </c>
      <c r="C1564" s="4">
        <v>201001969</v>
      </c>
      <c r="D1564" s="4" t="s">
        <v>2053</v>
      </c>
      <c r="E1564" s="4" t="str">
        <f>"038742010"</f>
        <v>038742010</v>
      </c>
      <c r="F1564" s="10">
        <v>40228</v>
      </c>
      <c r="G1564" s="11">
        <v>13000</v>
      </c>
      <c r="H1564" s="11">
        <v>13000</v>
      </c>
      <c r="I1564" s="4" t="s">
        <v>366</v>
      </c>
      <c r="J1564" s="4" t="s">
        <v>367</v>
      </c>
      <c r="K1564" s="11">
        <v>0</v>
      </c>
      <c r="L1564" s="4"/>
      <c r="M1564" s="4"/>
      <c r="N1564" s="11">
        <v>0</v>
      </c>
      <c r="O1564" s="4"/>
      <c r="P1564" s="4"/>
      <c r="Q1564" s="11">
        <v>0</v>
      </c>
      <c r="R1564" s="4"/>
      <c r="S1564" s="12"/>
    </row>
    <row r="1565" spans="1:19" x14ac:dyDescent="0.25">
      <c r="A1565" s="9" t="s">
        <v>485</v>
      </c>
      <c r="B1565" s="9" t="s">
        <v>485</v>
      </c>
      <c r="C1565" s="4">
        <v>201002010</v>
      </c>
      <c r="D1565" s="4"/>
      <c r="E1565" s="4" t="str">
        <f>"039362010"</f>
        <v>039362010</v>
      </c>
      <c r="F1565" s="10">
        <v>40232</v>
      </c>
      <c r="G1565" s="11">
        <v>3495.57</v>
      </c>
      <c r="H1565" s="11">
        <v>3495.57</v>
      </c>
      <c r="I1565" s="4" t="s">
        <v>366</v>
      </c>
      <c r="J1565" s="4" t="s">
        <v>367</v>
      </c>
      <c r="K1565" s="11">
        <v>0</v>
      </c>
      <c r="L1565" s="4"/>
      <c r="M1565" s="4"/>
      <c r="N1565" s="11">
        <v>0</v>
      </c>
      <c r="O1565" s="4"/>
      <c r="P1565" s="4"/>
      <c r="Q1565" s="11">
        <v>0</v>
      </c>
      <c r="R1565" s="4"/>
      <c r="S1565" s="12"/>
    </row>
    <row r="1566" spans="1:19" x14ac:dyDescent="0.25">
      <c r="A1566" s="9" t="s">
        <v>485</v>
      </c>
      <c r="B1566" s="9" t="s">
        <v>485</v>
      </c>
      <c r="C1566" s="4">
        <v>201002015</v>
      </c>
      <c r="D1566" s="4"/>
      <c r="E1566" s="4" t="str">
        <f>"039322010"</f>
        <v>039322010</v>
      </c>
      <c r="F1566" s="10">
        <v>40232</v>
      </c>
      <c r="G1566" s="11">
        <v>3670.4</v>
      </c>
      <c r="H1566" s="11">
        <v>3670.4</v>
      </c>
      <c r="I1566" s="4" t="s">
        <v>366</v>
      </c>
      <c r="J1566" s="4" t="s">
        <v>367</v>
      </c>
      <c r="K1566" s="11">
        <v>0</v>
      </c>
      <c r="L1566" s="4"/>
      <c r="M1566" s="4"/>
      <c r="N1566" s="11">
        <v>0</v>
      </c>
      <c r="O1566" s="4"/>
      <c r="P1566" s="4"/>
      <c r="Q1566" s="11">
        <v>0</v>
      </c>
      <c r="R1566" s="4"/>
      <c r="S1566" s="12"/>
    </row>
    <row r="1567" spans="1:19" x14ac:dyDescent="0.25">
      <c r="A1567" s="9" t="s">
        <v>485</v>
      </c>
      <c r="B1567" s="9" t="s">
        <v>485</v>
      </c>
      <c r="C1567" s="4">
        <v>201002024</v>
      </c>
      <c r="D1567" s="4"/>
      <c r="E1567" s="4" t="str">
        <f>"040122010"</f>
        <v>040122010</v>
      </c>
      <c r="F1567" s="10">
        <v>40232</v>
      </c>
      <c r="G1567" s="11">
        <v>7839.13</v>
      </c>
      <c r="H1567" s="11">
        <v>7839.13</v>
      </c>
      <c r="I1567" s="4" t="s">
        <v>366</v>
      </c>
      <c r="J1567" s="4" t="s">
        <v>367</v>
      </c>
      <c r="K1567" s="11">
        <v>0</v>
      </c>
      <c r="L1567" s="4"/>
      <c r="M1567" s="4"/>
      <c r="N1567" s="11">
        <v>0</v>
      </c>
      <c r="O1567" s="4"/>
      <c r="P1567" s="4"/>
      <c r="Q1567" s="11">
        <v>0</v>
      </c>
      <c r="R1567" s="4"/>
      <c r="S1567" s="12"/>
    </row>
    <row r="1568" spans="1:19" x14ac:dyDescent="0.25">
      <c r="A1568" s="9" t="s">
        <v>485</v>
      </c>
      <c r="B1568" s="9" t="s">
        <v>485</v>
      </c>
      <c r="C1568" s="4">
        <v>201002025</v>
      </c>
      <c r="D1568" s="4"/>
      <c r="E1568" s="4" t="str">
        <f>"040082010"</f>
        <v>040082010</v>
      </c>
      <c r="F1568" s="10">
        <v>40232</v>
      </c>
      <c r="G1568" s="11">
        <v>5631.59</v>
      </c>
      <c r="H1568" s="11">
        <v>5631.59</v>
      </c>
      <c r="I1568" s="4" t="s">
        <v>366</v>
      </c>
      <c r="J1568" s="4" t="s">
        <v>367</v>
      </c>
      <c r="K1568" s="11">
        <v>0</v>
      </c>
      <c r="L1568" s="4"/>
      <c r="M1568" s="4"/>
      <c r="N1568" s="11">
        <v>0</v>
      </c>
      <c r="O1568" s="4"/>
      <c r="P1568" s="4"/>
      <c r="Q1568" s="11">
        <v>0</v>
      </c>
      <c r="R1568" s="4"/>
      <c r="S1568" s="12"/>
    </row>
    <row r="1569" spans="1:19" x14ac:dyDescent="0.25">
      <c r="A1569" s="9" t="s">
        <v>485</v>
      </c>
      <c r="B1569" s="9" t="s">
        <v>485</v>
      </c>
      <c r="C1569" s="4">
        <v>201002028</v>
      </c>
      <c r="D1569" s="4"/>
      <c r="E1569" s="4" t="str">
        <f>"040062010"</f>
        <v>040062010</v>
      </c>
      <c r="F1569" s="10">
        <v>40232</v>
      </c>
      <c r="G1569" s="11">
        <v>2882.92</v>
      </c>
      <c r="H1569" s="11">
        <v>2882.92</v>
      </c>
      <c r="I1569" s="4" t="s">
        <v>366</v>
      </c>
      <c r="J1569" s="4" t="s">
        <v>367</v>
      </c>
      <c r="K1569" s="11">
        <v>0</v>
      </c>
      <c r="L1569" s="4"/>
      <c r="M1569" s="4"/>
      <c r="N1569" s="11">
        <v>0</v>
      </c>
      <c r="O1569" s="4"/>
      <c r="P1569" s="4"/>
      <c r="Q1569" s="11">
        <v>0</v>
      </c>
      <c r="R1569" s="4"/>
      <c r="S1569" s="12"/>
    </row>
    <row r="1570" spans="1:19" x14ac:dyDescent="0.25">
      <c r="A1570" s="9" t="s">
        <v>485</v>
      </c>
      <c r="B1570" s="9" t="s">
        <v>485</v>
      </c>
      <c r="C1570" s="4">
        <v>201002032</v>
      </c>
      <c r="D1570" s="4"/>
      <c r="E1570" s="4" t="str">
        <f>"045382010"</f>
        <v>045382010</v>
      </c>
      <c r="F1570" s="10">
        <v>40248</v>
      </c>
      <c r="G1570" s="11">
        <v>10000</v>
      </c>
      <c r="H1570" s="11">
        <v>10000</v>
      </c>
      <c r="I1570" s="4" t="s">
        <v>366</v>
      </c>
      <c r="J1570" s="4" t="s">
        <v>367</v>
      </c>
      <c r="K1570" s="11">
        <v>0</v>
      </c>
      <c r="L1570" s="4"/>
      <c r="M1570" s="4"/>
      <c r="N1570" s="11">
        <v>0</v>
      </c>
      <c r="O1570" s="4"/>
      <c r="P1570" s="4"/>
      <c r="Q1570" s="11">
        <v>0</v>
      </c>
      <c r="R1570" s="4"/>
      <c r="S1570" s="12"/>
    </row>
    <row r="1571" spans="1:19" x14ac:dyDescent="0.25">
      <c r="A1571" s="9" t="s">
        <v>485</v>
      </c>
      <c r="B1571" s="9" t="s">
        <v>485</v>
      </c>
      <c r="C1571" s="4">
        <v>201002042</v>
      </c>
      <c r="D1571" s="4" t="s">
        <v>2054</v>
      </c>
      <c r="E1571" s="4" t="str">
        <f>"040782010"</f>
        <v>040782010</v>
      </c>
      <c r="F1571" s="10">
        <v>40234</v>
      </c>
      <c r="G1571" s="11">
        <v>35000</v>
      </c>
      <c r="H1571" s="11">
        <v>28000</v>
      </c>
      <c r="I1571" s="4" t="s">
        <v>687</v>
      </c>
      <c r="J1571" s="4" t="s">
        <v>688</v>
      </c>
      <c r="K1571" s="11">
        <v>7000</v>
      </c>
      <c r="L1571" s="4" t="s">
        <v>687</v>
      </c>
      <c r="M1571" s="4" t="s">
        <v>688</v>
      </c>
      <c r="N1571" s="11">
        <v>0</v>
      </c>
      <c r="O1571" s="4"/>
      <c r="P1571" s="4"/>
      <c r="Q1571" s="11">
        <v>0</v>
      </c>
      <c r="R1571" s="4"/>
      <c r="S1571" s="12"/>
    </row>
    <row r="1572" spans="1:19" x14ac:dyDescent="0.25">
      <c r="A1572" s="9" t="s">
        <v>485</v>
      </c>
      <c r="B1572" s="9" t="s">
        <v>485</v>
      </c>
      <c r="C1572" s="4">
        <v>201002056</v>
      </c>
      <c r="D1572" s="4" t="s">
        <v>2055</v>
      </c>
      <c r="E1572" s="4" t="str">
        <f>"043152010"</f>
        <v>043152010</v>
      </c>
      <c r="F1572" s="10">
        <v>40240</v>
      </c>
      <c r="G1572" s="11">
        <v>9155.26</v>
      </c>
      <c r="H1572" s="11">
        <v>9155.26</v>
      </c>
      <c r="I1572" s="4" t="s">
        <v>366</v>
      </c>
      <c r="J1572" s="4" t="s">
        <v>367</v>
      </c>
      <c r="K1572" s="11">
        <v>0</v>
      </c>
      <c r="L1572" s="4"/>
      <c r="M1572" s="4"/>
      <c r="N1572" s="11">
        <v>0</v>
      </c>
      <c r="O1572" s="4"/>
      <c r="P1572" s="4"/>
      <c r="Q1572" s="11">
        <v>0</v>
      </c>
      <c r="R1572" s="4"/>
      <c r="S1572" s="12"/>
    </row>
    <row r="1573" spans="1:19" x14ac:dyDescent="0.25">
      <c r="A1573" s="9" t="s">
        <v>485</v>
      </c>
      <c r="B1573" s="9" t="s">
        <v>485</v>
      </c>
      <c r="C1573" s="4">
        <v>201002058</v>
      </c>
      <c r="D1573" s="4" t="s">
        <v>2056</v>
      </c>
      <c r="E1573" s="4" t="str">
        <f>"056612010"</f>
        <v>056612010</v>
      </c>
      <c r="F1573" s="10">
        <v>40276</v>
      </c>
      <c r="G1573" s="11">
        <v>130000</v>
      </c>
      <c r="H1573" s="11">
        <v>130000</v>
      </c>
      <c r="I1573" s="4" t="s">
        <v>687</v>
      </c>
      <c r="J1573" s="4" t="s">
        <v>688</v>
      </c>
      <c r="K1573" s="11">
        <v>0</v>
      </c>
      <c r="L1573" s="4"/>
      <c r="M1573" s="4"/>
      <c r="N1573" s="11">
        <v>0</v>
      </c>
      <c r="O1573" s="4"/>
      <c r="P1573" s="4"/>
      <c r="Q1573" s="11">
        <v>0</v>
      </c>
      <c r="R1573" s="4"/>
      <c r="S1573" s="12"/>
    </row>
    <row r="1574" spans="1:19" x14ac:dyDescent="0.25">
      <c r="A1574" s="9" t="s">
        <v>485</v>
      </c>
      <c r="B1574" s="9" t="s">
        <v>485</v>
      </c>
      <c r="C1574" s="4">
        <v>201002060</v>
      </c>
      <c r="D1574" s="4" t="s">
        <v>2057</v>
      </c>
      <c r="E1574" s="4" t="str">
        <f>"041482010"</f>
        <v>041482010</v>
      </c>
      <c r="F1574" s="10">
        <v>40240</v>
      </c>
      <c r="G1574" s="11">
        <v>50000</v>
      </c>
      <c r="H1574" s="11">
        <v>50000</v>
      </c>
      <c r="I1574" s="4" t="s">
        <v>687</v>
      </c>
      <c r="J1574" s="4" t="s">
        <v>688</v>
      </c>
      <c r="K1574" s="11">
        <v>0</v>
      </c>
      <c r="L1574" s="4"/>
      <c r="M1574" s="4"/>
      <c r="N1574" s="11">
        <v>0</v>
      </c>
      <c r="O1574" s="4"/>
      <c r="P1574" s="4"/>
      <c r="Q1574" s="11">
        <v>0</v>
      </c>
      <c r="R1574" s="4"/>
      <c r="S1574" s="12"/>
    </row>
    <row r="1575" spans="1:19" x14ac:dyDescent="0.25">
      <c r="A1575" s="9" t="s">
        <v>485</v>
      </c>
      <c r="B1575" s="9" t="s">
        <v>485</v>
      </c>
      <c r="C1575" s="4">
        <v>201002065</v>
      </c>
      <c r="D1575" s="4"/>
      <c r="E1575" s="4" t="str">
        <f>"040482010"</f>
        <v>040482010</v>
      </c>
      <c r="F1575" s="10">
        <v>40234</v>
      </c>
      <c r="G1575" s="11">
        <v>4971.01</v>
      </c>
      <c r="H1575" s="11">
        <v>4971.01</v>
      </c>
      <c r="I1575" s="4" t="s">
        <v>366</v>
      </c>
      <c r="J1575" s="4" t="s">
        <v>367</v>
      </c>
      <c r="K1575" s="11">
        <v>0</v>
      </c>
      <c r="L1575" s="4"/>
      <c r="M1575" s="4"/>
      <c r="N1575" s="11">
        <v>0</v>
      </c>
      <c r="O1575" s="4"/>
      <c r="P1575" s="4"/>
      <c r="Q1575" s="11">
        <v>0</v>
      </c>
      <c r="R1575" s="4"/>
      <c r="S1575" s="12"/>
    </row>
    <row r="1576" spans="1:19" x14ac:dyDescent="0.25">
      <c r="A1576" s="9" t="s">
        <v>485</v>
      </c>
      <c r="B1576" s="9" t="s">
        <v>485</v>
      </c>
      <c r="C1576" s="4">
        <v>201002070</v>
      </c>
      <c r="D1576" s="4"/>
      <c r="E1576" s="4" t="str">
        <f>"040562010"</f>
        <v>040562010</v>
      </c>
      <c r="F1576" s="10">
        <v>40234</v>
      </c>
      <c r="G1576" s="11">
        <v>5979.91</v>
      </c>
      <c r="H1576" s="11">
        <v>5979.91</v>
      </c>
      <c r="I1576" s="4" t="s">
        <v>366</v>
      </c>
      <c r="J1576" s="4" t="s">
        <v>367</v>
      </c>
      <c r="K1576" s="11">
        <v>0</v>
      </c>
      <c r="L1576" s="4"/>
      <c r="M1576" s="4"/>
      <c r="N1576" s="11">
        <v>0</v>
      </c>
      <c r="O1576" s="4"/>
      <c r="P1576" s="4"/>
      <c r="Q1576" s="11">
        <v>0</v>
      </c>
      <c r="R1576" s="4"/>
      <c r="S1576" s="12"/>
    </row>
    <row r="1577" spans="1:19" x14ac:dyDescent="0.25">
      <c r="A1577" s="9" t="s">
        <v>485</v>
      </c>
      <c r="B1577" s="9" t="s">
        <v>485</v>
      </c>
      <c r="C1577" s="4">
        <v>201002072</v>
      </c>
      <c r="D1577" s="4" t="s">
        <v>2058</v>
      </c>
      <c r="E1577" s="4" t="str">
        <f>"041992010"</f>
        <v>041992010</v>
      </c>
      <c r="F1577" s="10">
        <v>40240</v>
      </c>
      <c r="G1577" s="11">
        <v>200000</v>
      </c>
      <c r="H1577" s="11">
        <v>200000</v>
      </c>
      <c r="I1577" s="4" t="s">
        <v>687</v>
      </c>
      <c r="J1577" s="4" t="s">
        <v>688</v>
      </c>
      <c r="K1577" s="11">
        <v>0</v>
      </c>
      <c r="L1577" s="4"/>
      <c r="M1577" s="4"/>
      <c r="N1577" s="11">
        <v>0</v>
      </c>
      <c r="O1577" s="4"/>
      <c r="P1577" s="4"/>
      <c r="Q1577" s="11">
        <v>0</v>
      </c>
      <c r="R1577" s="4"/>
      <c r="S1577" s="12"/>
    </row>
    <row r="1578" spans="1:19" x14ac:dyDescent="0.25">
      <c r="A1578" s="9" t="s">
        <v>485</v>
      </c>
      <c r="B1578" s="9" t="s">
        <v>485</v>
      </c>
      <c r="C1578" s="4">
        <v>201002077</v>
      </c>
      <c r="D1578" s="4"/>
      <c r="E1578" s="4" t="str">
        <f>"040622010"</f>
        <v>040622010</v>
      </c>
      <c r="F1578" s="10">
        <v>40234</v>
      </c>
      <c r="G1578" s="11">
        <v>2702.37</v>
      </c>
      <c r="H1578" s="11">
        <v>2702.37</v>
      </c>
      <c r="I1578" s="4" t="s">
        <v>366</v>
      </c>
      <c r="J1578" s="4" t="s">
        <v>367</v>
      </c>
      <c r="K1578" s="11">
        <v>0</v>
      </c>
      <c r="L1578" s="4"/>
      <c r="M1578" s="4"/>
      <c r="N1578" s="11">
        <v>0</v>
      </c>
      <c r="O1578" s="4"/>
      <c r="P1578" s="4"/>
      <c r="Q1578" s="11">
        <v>0</v>
      </c>
      <c r="R1578" s="4"/>
      <c r="S1578" s="12"/>
    </row>
    <row r="1579" spans="1:19" x14ac:dyDescent="0.25">
      <c r="A1579" s="9" t="s">
        <v>485</v>
      </c>
      <c r="B1579" s="9" t="s">
        <v>485</v>
      </c>
      <c r="C1579" s="4">
        <v>201002097</v>
      </c>
      <c r="D1579" s="4" t="s">
        <v>2059</v>
      </c>
      <c r="E1579" s="4" t="str">
        <f>"041382010"</f>
        <v>041382010</v>
      </c>
      <c r="F1579" s="10">
        <v>40241</v>
      </c>
      <c r="G1579" s="11">
        <v>21482.9</v>
      </c>
      <c r="H1579" s="11">
        <v>17186.32</v>
      </c>
      <c r="I1579" s="4" t="s">
        <v>366</v>
      </c>
      <c r="J1579" s="4" t="s">
        <v>367</v>
      </c>
      <c r="K1579" s="11">
        <v>4296.58</v>
      </c>
      <c r="L1579" s="4" t="s">
        <v>366</v>
      </c>
      <c r="M1579" s="4" t="s">
        <v>367</v>
      </c>
      <c r="N1579" s="11">
        <v>0</v>
      </c>
      <c r="O1579" s="4"/>
      <c r="P1579" s="4"/>
      <c r="Q1579" s="11">
        <v>0</v>
      </c>
      <c r="R1579" s="4"/>
      <c r="S1579" s="12"/>
    </row>
    <row r="1580" spans="1:19" x14ac:dyDescent="0.25">
      <c r="A1580" s="9" t="s">
        <v>485</v>
      </c>
      <c r="B1580" s="9" t="s">
        <v>485</v>
      </c>
      <c r="C1580" s="4">
        <v>201002102</v>
      </c>
      <c r="D1580" s="4" t="s">
        <v>2060</v>
      </c>
      <c r="E1580" s="4" t="str">
        <f>"041932010"</f>
        <v>041932010</v>
      </c>
      <c r="F1580" s="10">
        <v>40240</v>
      </c>
      <c r="G1580" s="11">
        <v>192296.87</v>
      </c>
      <c r="H1580" s="11">
        <v>192296.87</v>
      </c>
      <c r="I1580" s="4" t="s">
        <v>366</v>
      </c>
      <c r="J1580" s="4" t="s">
        <v>367</v>
      </c>
      <c r="K1580" s="11">
        <v>0</v>
      </c>
      <c r="L1580" s="4"/>
      <c r="M1580" s="4"/>
      <c r="N1580" s="11">
        <v>0</v>
      </c>
      <c r="O1580" s="4"/>
      <c r="P1580" s="4"/>
      <c r="Q1580" s="11">
        <v>0</v>
      </c>
      <c r="R1580" s="4"/>
      <c r="S1580" s="12"/>
    </row>
    <row r="1581" spans="1:19" x14ac:dyDescent="0.25">
      <c r="A1581" s="9" t="s">
        <v>485</v>
      </c>
      <c r="B1581" s="9" t="s">
        <v>485</v>
      </c>
      <c r="C1581" s="4">
        <v>201002120</v>
      </c>
      <c r="D1581" s="4"/>
      <c r="E1581" s="4" t="str">
        <f>"041892010"</f>
        <v>041892010</v>
      </c>
      <c r="F1581" s="10">
        <v>40241</v>
      </c>
      <c r="G1581" s="11">
        <v>10693.8</v>
      </c>
      <c r="H1581" s="11">
        <v>10693.8</v>
      </c>
      <c r="I1581" s="4" t="s">
        <v>366</v>
      </c>
      <c r="J1581" s="4" t="s">
        <v>367</v>
      </c>
      <c r="K1581" s="11">
        <v>0</v>
      </c>
      <c r="L1581" s="4"/>
      <c r="M1581" s="4"/>
      <c r="N1581" s="11">
        <v>0</v>
      </c>
      <c r="O1581" s="4"/>
      <c r="P1581" s="4"/>
      <c r="Q1581" s="11">
        <v>0</v>
      </c>
      <c r="R1581" s="4"/>
      <c r="S1581" s="12"/>
    </row>
    <row r="1582" spans="1:19" x14ac:dyDescent="0.25">
      <c r="A1582" s="9" t="s">
        <v>485</v>
      </c>
      <c r="B1582" s="9" t="s">
        <v>485</v>
      </c>
      <c r="C1582" s="4">
        <v>201002144</v>
      </c>
      <c r="D1582" s="4"/>
      <c r="E1582" s="4" t="str">
        <f>"043712010"</f>
        <v>043712010</v>
      </c>
      <c r="F1582" s="10">
        <v>40245</v>
      </c>
      <c r="G1582" s="11">
        <v>3436.9</v>
      </c>
      <c r="H1582" s="11">
        <v>3436.9</v>
      </c>
      <c r="I1582" s="4" t="s">
        <v>366</v>
      </c>
      <c r="J1582" s="4" t="s">
        <v>367</v>
      </c>
      <c r="K1582" s="11">
        <v>0</v>
      </c>
      <c r="L1582" s="4"/>
      <c r="M1582" s="4"/>
      <c r="N1582" s="11">
        <v>0</v>
      </c>
      <c r="O1582" s="4"/>
      <c r="P1582" s="4"/>
      <c r="Q1582" s="11">
        <v>0</v>
      </c>
      <c r="R1582" s="4"/>
      <c r="S1582" s="12"/>
    </row>
    <row r="1583" spans="1:19" x14ac:dyDescent="0.25">
      <c r="A1583" s="9" t="s">
        <v>485</v>
      </c>
      <c r="B1583" s="9" t="s">
        <v>485</v>
      </c>
      <c r="C1583" s="4">
        <v>201002147</v>
      </c>
      <c r="D1583" s="4"/>
      <c r="E1583" s="4" t="str">
        <f>"042132010"</f>
        <v>042132010</v>
      </c>
      <c r="F1583" s="10">
        <v>40241</v>
      </c>
      <c r="G1583" s="11">
        <v>3000</v>
      </c>
      <c r="H1583" s="11">
        <v>3000</v>
      </c>
      <c r="I1583" s="4" t="s">
        <v>366</v>
      </c>
      <c r="J1583" s="4" t="s">
        <v>367</v>
      </c>
      <c r="K1583" s="11">
        <v>0</v>
      </c>
      <c r="L1583" s="4"/>
      <c r="M1583" s="4"/>
      <c r="N1583" s="11">
        <v>0</v>
      </c>
      <c r="O1583" s="4"/>
      <c r="P1583" s="4"/>
      <c r="Q1583" s="11">
        <v>0</v>
      </c>
      <c r="R1583" s="4"/>
      <c r="S1583" s="12"/>
    </row>
    <row r="1584" spans="1:19" x14ac:dyDescent="0.25">
      <c r="A1584" s="9" t="s">
        <v>485</v>
      </c>
      <c r="B1584" s="9" t="s">
        <v>485</v>
      </c>
      <c r="C1584" s="4">
        <v>201002149</v>
      </c>
      <c r="D1584" s="4"/>
      <c r="E1584" s="4" t="str">
        <f>"042172010"</f>
        <v>042172010</v>
      </c>
      <c r="F1584" s="10">
        <v>40240</v>
      </c>
      <c r="G1584" s="11">
        <v>2863.88</v>
      </c>
      <c r="H1584" s="11">
        <v>2863.88</v>
      </c>
      <c r="I1584" s="4" t="s">
        <v>366</v>
      </c>
      <c r="J1584" s="4" t="s">
        <v>367</v>
      </c>
      <c r="K1584" s="11">
        <v>0</v>
      </c>
      <c r="L1584" s="4"/>
      <c r="M1584" s="4"/>
      <c r="N1584" s="11">
        <v>0</v>
      </c>
      <c r="O1584" s="4"/>
      <c r="P1584" s="4"/>
      <c r="Q1584" s="11">
        <v>0</v>
      </c>
      <c r="R1584" s="4"/>
      <c r="S1584" s="12"/>
    </row>
    <row r="1585" spans="1:19" x14ac:dyDescent="0.25">
      <c r="A1585" s="9" t="s">
        <v>485</v>
      </c>
      <c r="B1585" s="9" t="s">
        <v>485</v>
      </c>
      <c r="C1585" s="4">
        <v>201002150</v>
      </c>
      <c r="D1585" s="4"/>
      <c r="E1585" s="4" t="str">
        <f>"042092010"</f>
        <v>042092010</v>
      </c>
      <c r="F1585" s="10">
        <v>40240</v>
      </c>
      <c r="G1585" s="11">
        <v>6700</v>
      </c>
      <c r="H1585" s="11">
        <v>6700</v>
      </c>
      <c r="I1585" s="4" t="s">
        <v>366</v>
      </c>
      <c r="J1585" s="4" t="s">
        <v>367</v>
      </c>
      <c r="K1585" s="11">
        <v>0</v>
      </c>
      <c r="L1585" s="4"/>
      <c r="M1585" s="4"/>
      <c r="N1585" s="11">
        <v>0</v>
      </c>
      <c r="O1585" s="4"/>
      <c r="P1585" s="4"/>
      <c r="Q1585" s="11">
        <v>0</v>
      </c>
      <c r="R1585" s="4"/>
      <c r="S1585" s="12"/>
    </row>
    <row r="1586" spans="1:19" x14ac:dyDescent="0.25">
      <c r="A1586" s="9" t="s">
        <v>485</v>
      </c>
      <c r="B1586" s="9" t="s">
        <v>485</v>
      </c>
      <c r="C1586" s="4">
        <v>201002151</v>
      </c>
      <c r="D1586" s="4"/>
      <c r="E1586" s="4" t="str">
        <f>"042372010"</f>
        <v>042372010</v>
      </c>
      <c r="F1586" s="10">
        <v>40246</v>
      </c>
      <c r="G1586" s="11">
        <v>3922.54</v>
      </c>
      <c r="H1586" s="11">
        <v>3922.54</v>
      </c>
      <c r="I1586" s="4" t="s">
        <v>366</v>
      </c>
      <c r="J1586" s="4" t="s">
        <v>367</v>
      </c>
      <c r="K1586" s="11">
        <v>0</v>
      </c>
      <c r="L1586" s="4"/>
      <c r="M1586" s="4"/>
      <c r="N1586" s="11">
        <v>0</v>
      </c>
      <c r="O1586" s="4"/>
      <c r="P1586" s="4"/>
      <c r="Q1586" s="11">
        <v>0</v>
      </c>
      <c r="R1586" s="4"/>
      <c r="S1586" s="12"/>
    </row>
    <row r="1587" spans="1:19" x14ac:dyDescent="0.25">
      <c r="A1587" s="9" t="s">
        <v>485</v>
      </c>
      <c r="B1587" s="9" t="s">
        <v>485</v>
      </c>
      <c r="C1587" s="4">
        <v>201002155</v>
      </c>
      <c r="D1587" s="4"/>
      <c r="E1587" s="4" t="str">
        <f>"042412010"</f>
        <v>042412010</v>
      </c>
      <c r="F1587" s="10">
        <v>40246</v>
      </c>
      <c r="G1587" s="11">
        <v>2939.83</v>
      </c>
      <c r="H1587" s="11">
        <v>2939.83</v>
      </c>
      <c r="I1587" s="4" t="s">
        <v>366</v>
      </c>
      <c r="J1587" s="4" t="s">
        <v>367</v>
      </c>
      <c r="K1587" s="11">
        <v>0</v>
      </c>
      <c r="L1587" s="4"/>
      <c r="M1587" s="4"/>
      <c r="N1587" s="11">
        <v>0</v>
      </c>
      <c r="O1587" s="4"/>
      <c r="P1587" s="4"/>
      <c r="Q1587" s="11">
        <v>0</v>
      </c>
      <c r="R1587" s="4"/>
      <c r="S1587" s="12"/>
    </row>
    <row r="1588" spans="1:19" x14ac:dyDescent="0.25">
      <c r="A1588" s="9" t="s">
        <v>485</v>
      </c>
      <c r="B1588" s="9" t="s">
        <v>485</v>
      </c>
      <c r="C1588" s="4">
        <v>201002156</v>
      </c>
      <c r="D1588" s="4" t="s">
        <v>2061</v>
      </c>
      <c r="E1588" s="4" t="str">
        <f>"042392010"</f>
        <v>042392010</v>
      </c>
      <c r="F1588" s="10">
        <v>40246</v>
      </c>
      <c r="G1588" s="11">
        <v>4330</v>
      </c>
      <c r="H1588" s="11">
        <v>4330</v>
      </c>
      <c r="I1588" s="4" t="s">
        <v>366</v>
      </c>
      <c r="J1588" s="4" t="s">
        <v>367</v>
      </c>
      <c r="K1588" s="11">
        <v>0</v>
      </c>
      <c r="L1588" s="4"/>
      <c r="M1588" s="4"/>
      <c r="N1588" s="11">
        <v>0</v>
      </c>
      <c r="O1588" s="4"/>
      <c r="P1588" s="4"/>
      <c r="Q1588" s="11">
        <v>0</v>
      </c>
      <c r="R1588" s="4"/>
      <c r="S1588" s="12"/>
    </row>
    <row r="1589" spans="1:19" x14ac:dyDescent="0.25">
      <c r="A1589" s="9" t="s">
        <v>485</v>
      </c>
      <c r="B1589" s="9" t="s">
        <v>485</v>
      </c>
      <c r="C1589" s="4">
        <v>201002158</v>
      </c>
      <c r="D1589" s="4"/>
      <c r="E1589" s="4" t="str">
        <f>"042472010"</f>
        <v>042472010</v>
      </c>
      <c r="F1589" s="10">
        <v>40246</v>
      </c>
      <c r="G1589" s="11">
        <v>7294.25</v>
      </c>
      <c r="H1589" s="11">
        <v>7294.25</v>
      </c>
      <c r="I1589" s="4" t="s">
        <v>366</v>
      </c>
      <c r="J1589" s="4" t="s">
        <v>367</v>
      </c>
      <c r="K1589" s="11">
        <v>0</v>
      </c>
      <c r="L1589" s="4"/>
      <c r="M1589" s="4"/>
      <c r="N1589" s="11">
        <v>0</v>
      </c>
      <c r="O1589" s="4"/>
      <c r="P1589" s="4"/>
      <c r="Q1589" s="11">
        <v>0</v>
      </c>
      <c r="R1589" s="4"/>
      <c r="S1589" s="12"/>
    </row>
    <row r="1590" spans="1:19" x14ac:dyDescent="0.25">
      <c r="A1590" s="9" t="s">
        <v>485</v>
      </c>
      <c r="B1590" s="9" t="s">
        <v>485</v>
      </c>
      <c r="C1590" s="4">
        <v>201002164</v>
      </c>
      <c r="D1590" s="4" t="s">
        <v>2052</v>
      </c>
      <c r="E1590" s="4" t="str">
        <f>"042892010"</f>
        <v>042892010</v>
      </c>
      <c r="F1590" s="10">
        <v>40240</v>
      </c>
      <c r="G1590" s="11">
        <v>3250</v>
      </c>
      <c r="H1590" s="11">
        <v>3250</v>
      </c>
      <c r="I1590" s="4" t="s">
        <v>366</v>
      </c>
      <c r="J1590" s="4" t="s">
        <v>367</v>
      </c>
      <c r="K1590" s="11">
        <v>0</v>
      </c>
      <c r="L1590" s="4"/>
      <c r="M1590" s="4"/>
      <c r="N1590" s="11">
        <v>0</v>
      </c>
      <c r="O1590" s="4"/>
      <c r="P1590" s="4"/>
      <c r="Q1590" s="11">
        <v>0</v>
      </c>
      <c r="R1590" s="4"/>
      <c r="S1590" s="12"/>
    </row>
    <row r="1591" spans="1:19" x14ac:dyDescent="0.25">
      <c r="A1591" s="9" t="s">
        <v>485</v>
      </c>
      <c r="B1591" s="9" t="s">
        <v>485</v>
      </c>
      <c r="C1591" s="4">
        <v>201002165</v>
      </c>
      <c r="D1591" s="4"/>
      <c r="E1591" s="4" t="str">
        <f>"108142010"</f>
        <v>108142010</v>
      </c>
      <c r="F1591" s="10">
        <v>40424</v>
      </c>
      <c r="G1591" s="11">
        <v>3210.26</v>
      </c>
      <c r="H1591" s="11">
        <v>3210.26</v>
      </c>
      <c r="I1591" s="4" t="s">
        <v>54</v>
      </c>
      <c r="J1591" s="4" t="s">
        <v>55</v>
      </c>
      <c r="K1591" s="11">
        <v>0</v>
      </c>
      <c r="L1591" s="4"/>
      <c r="M1591" s="4"/>
      <c r="N1591" s="11">
        <v>0</v>
      </c>
      <c r="O1591" s="4"/>
      <c r="P1591" s="4"/>
      <c r="Q1591" s="11">
        <v>0</v>
      </c>
      <c r="R1591" s="4"/>
      <c r="S1591" s="12"/>
    </row>
    <row r="1592" spans="1:19" x14ac:dyDescent="0.25">
      <c r="A1592" s="9" t="s">
        <v>485</v>
      </c>
      <c r="B1592" s="9" t="s">
        <v>485</v>
      </c>
      <c r="C1592" s="4">
        <v>201002168</v>
      </c>
      <c r="D1592" s="4"/>
      <c r="E1592" s="4" t="str">
        <f>"042752010"</f>
        <v>042752010</v>
      </c>
      <c r="F1592" s="10">
        <v>40246</v>
      </c>
      <c r="G1592" s="11">
        <v>13546.7</v>
      </c>
      <c r="H1592" s="11">
        <v>13546.7</v>
      </c>
      <c r="I1592" s="4" t="s">
        <v>366</v>
      </c>
      <c r="J1592" s="4" t="s">
        <v>367</v>
      </c>
      <c r="K1592" s="11">
        <v>0</v>
      </c>
      <c r="L1592" s="4"/>
      <c r="M1592" s="4"/>
      <c r="N1592" s="11">
        <v>0</v>
      </c>
      <c r="O1592" s="4"/>
      <c r="P1592" s="4"/>
      <c r="Q1592" s="11">
        <v>0</v>
      </c>
      <c r="R1592" s="4"/>
      <c r="S1592" s="12"/>
    </row>
    <row r="1593" spans="1:19" x14ac:dyDescent="0.25">
      <c r="A1593" s="9" t="s">
        <v>485</v>
      </c>
      <c r="B1593" s="9" t="s">
        <v>485</v>
      </c>
      <c r="C1593" s="4">
        <v>201002186</v>
      </c>
      <c r="D1593" s="4"/>
      <c r="E1593" s="4" t="str">
        <f>"045222010"</f>
        <v>045222010</v>
      </c>
      <c r="F1593" s="10">
        <v>40246</v>
      </c>
      <c r="G1593" s="11">
        <v>2728.33</v>
      </c>
      <c r="H1593" s="11">
        <v>2728.33</v>
      </c>
      <c r="I1593" s="4" t="s">
        <v>366</v>
      </c>
      <c r="J1593" s="4" t="s">
        <v>367</v>
      </c>
      <c r="K1593" s="11">
        <v>0</v>
      </c>
      <c r="L1593" s="4"/>
      <c r="M1593" s="4"/>
      <c r="N1593" s="11">
        <v>0</v>
      </c>
      <c r="O1593" s="4"/>
      <c r="P1593" s="4"/>
      <c r="Q1593" s="11">
        <v>0</v>
      </c>
      <c r="R1593" s="4"/>
      <c r="S1593" s="12"/>
    </row>
    <row r="1594" spans="1:19" x14ac:dyDescent="0.25">
      <c r="A1594" s="9" t="s">
        <v>485</v>
      </c>
      <c r="B1594" s="9" t="s">
        <v>485</v>
      </c>
      <c r="C1594" s="4">
        <v>201002192</v>
      </c>
      <c r="D1594" s="4"/>
      <c r="E1594" s="4" t="str">
        <f>"042952010"</f>
        <v>042952010</v>
      </c>
      <c r="F1594" s="10">
        <v>40240</v>
      </c>
      <c r="G1594" s="11">
        <v>2947.66</v>
      </c>
      <c r="H1594" s="11">
        <v>2947.66</v>
      </c>
      <c r="I1594" s="4" t="s">
        <v>366</v>
      </c>
      <c r="J1594" s="4" t="s">
        <v>367</v>
      </c>
      <c r="K1594" s="11">
        <v>0</v>
      </c>
      <c r="L1594" s="4"/>
      <c r="M1594" s="4"/>
      <c r="N1594" s="11">
        <v>0</v>
      </c>
      <c r="O1594" s="4"/>
      <c r="P1594" s="4"/>
      <c r="Q1594" s="11">
        <v>0</v>
      </c>
      <c r="R1594" s="4"/>
      <c r="S1594" s="12"/>
    </row>
    <row r="1595" spans="1:19" x14ac:dyDescent="0.25">
      <c r="A1595" s="9" t="s">
        <v>485</v>
      </c>
      <c r="B1595" s="9" t="s">
        <v>485</v>
      </c>
      <c r="C1595" s="4">
        <v>201002194</v>
      </c>
      <c r="D1595" s="4" t="s">
        <v>2062</v>
      </c>
      <c r="E1595" s="4" t="str">
        <f>"042672010"</f>
        <v>042672010</v>
      </c>
      <c r="F1595" s="10">
        <v>40246</v>
      </c>
      <c r="G1595" s="11">
        <v>5682</v>
      </c>
      <c r="H1595" s="11">
        <v>5682</v>
      </c>
      <c r="I1595" s="4" t="s">
        <v>366</v>
      </c>
      <c r="J1595" s="4" t="s">
        <v>367</v>
      </c>
      <c r="K1595" s="11">
        <v>0</v>
      </c>
      <c r="L1595" s="4"/>
      <c r="M1595" s="4"/>
      <c r="N1595" s="11">
        <v>0</v>
      </c>
      <c r="O1595" s="4"/>
      <c r="P1595" s="4"/>
      <c r="Q1595" s="11">
        <v>0</v>
      </c>
      <c r="R1595" s="4"/>
      <c r="S1595" s="12"/>
    </row>
    <row r="1596" spans="1:19" x14ac:dyDescent="0.25">
      <c r="A1596" s="9" t="s">
        <v>485</v>
      </c>
      <c r="B1596" s="9" t="s">
        <v>485</v>
      </c>
      <c r="C1596" s="4">
        <v>201002214</v>
      </c>
      <c r="D1596" s="4"/>
      <c r="E1596" s="4" t="str">
        <f>"044882010"</f>
        <v>044882010</v>
      </c>
      <c r="F1596" s="10">
        <v>40245</v>
      </c>
      <c r="G1596" s="11">
        <v>6000</v>
      </c>
      <c r="H1596" s="11">
        <v>6000</v>
      </c>
      <c r="I1596" s="4" t="s">
        <v>366</v>
      </c>
      <c r="J1596" s="4" t="s">
        <v>367</v>
      </c>
      <c r="K1596" s="11">
        <v>0</v>
      </c>
      <c r="L1596" s="4"/>
      <c r="M1596" s="4"/>
      <c r="N1596" s="11">
        <v>0</v>
      </c>
      <c r="O1596" s="4"/>
      <c r="P1596" s="4"/>
      <c r="Q1596" s="11">
        <v>0</v>
      </c>
      <c r="R1596" s="4"/>
      <c r="S1596" s="12"/>
    </row>
    <row r="1597" spans="1:19" x14ac:dyDescent="0.25">
      <c r="A1597" s="9" t="s">
        <v>485</v>
      </c>
      <c r="B1597" s="9" t="s">
        <v>485</v>
      </c>
      <c r="C1597" s="4">
        <v>201002220</v>
      </c>
      <c r="D1597" s="4"/>
      <c r="E1597" s="4" t="str">
        <f>"045902010"</f>
        <v>045902010</v>
      </c>
      <c r="F1597" s="10">
        <v>40249</v>
      </c>
      <c r="G1597" s="11">
        <v>4383.24</v>
      </c>
      <c r="H1597" s="11">
        <v>4383.24</v>
      </c>
      <c r="I1597" s="4" t="s">
        <v>366</v>
      </c>
      <c r="J1597" s="4" t="s">
        <v>367</v>
      </c>
      <c r="K1597" s="11">
        <v>0</v>
      </c>
      <c r="L1597" s="4"/>
      <c r="M1597" s="4"/>
      <c r="N1597" s="11">
        <v>0</v>
      </c>
      <c r="O1597" s="4"/>
      <c r="P1597" s="4"/>
      <c r="Q1597" s="11">
        <v>0</v>
      </c>
      <c r="R1597" s="4"/>
      <c r="S1597" s="12"/>
    </row>
    <row r="1598" spans="1:19" x14ac:dyDescent="0.25">
      <c r="A1598" s="9" t="s">
        <v>485</v>
      </c>
      <c r="B1598" s="9" t="s">
        <v>485</v>
      </c>
      <c r="C1598" s="4">
        <v>201002227</v>
      </c>
      <c r="D1598" s="4"/>
      <c r="E1598" s="4" t="str">
        <f>"046482010"</f>
        <v>046482010</v>
      </c>
      <c r="F1598" s="10">
        <v>40252</v>
      </c>
      <c r="G1598" s="11">
        <v>6962</v>
      </c>
      <c r="H1598" s="11">
        <v>6962</v>
      </c>
      <c r="I1598" s="4" t="s">
        <v>366</v>
      </c>
      <c r="J1598" s="4" t="s">
        <v>367</v>
      </c>
      <c r="K1598" s="11">
        <v>0</v>
      </c>
      <c r="L1598" s="4"/>
      <c r="M1598" s="4"/>
      <c r="N1598" s="11">
        <v>0</v>
      </c>
      <c r="O1598" s="4"/>
      <c r="P1598" s="4"/>
      <c r="Q1598" s="11">
        <v>0</v>
      </c>
      <c r="R1598" s="4"/>
      <c r="S1598" s="12"/>
    </row>
    <row r="1599" spans="1:19" x14ac:dyDescent="0.25">
      <c r="A1599" s="9" t="s">
        <v>485</v>
      </c>
      <c r="B1599" s="9" t="s">
        <v>485</v>
      </c>
      <c r="C1599" s="4">
        <v>201002249</v>
      </c>
      <c r="D1599" s="4" t="s">
        <v>2063</v>
      </c>
      <c r="E1599" s="4" t="str">
        <f>"044862010"</f>
        <v>044862010</v>
      </c>
      <c r="F1599" s="10">
        <v>40245</v>
      </c>
      <c r="G1599" s="11">
        <v>14284.44</v>
      </c>
      <c r="H1599" s="11">
        <v>14284.44</v>
      </c>
      <c r="I1599" s="4" t="s">
        <v>366</v>
      </c>
      <c r="J1599" s="4" t="s">
        <v>367</v>
      </c>
      <c r="K1599" s="11">
        <v>0</v>
      </c>
      <c r="L1599" s="4"/>
      <c r="M1599" s="4"/>
      <c r="N1599" s="11">
        <v>0</v>
      </c>
      <c r="O1599" s="4"/>
      <c r="P1599" s="4"/>
      <c r="Q1599" s="11">
        <v>0</v>
      </c>
      <c r="R1599" s="4"/>
      <c r="S1599" s="12"/>
    </row>
    <row r="1600" spans="1:19" x14ac:dyDescent="0.25">
      <c r="A1600" s="9" t="s">
        <v>485</v>
      </c>
      <c r="B1600" s="9" t="s">
        <v>485</v>
      </c>
      <c r="C1600" s="4">
        <v>201002250</v>
      </c>
      <c r="D1600" s="4"/>
      <c r="E1600" s="4" t="str">
        <f>"045482010"</f>
        <v>045482010</v>
      </c>
      <c r="F1600" s="10">
        <v>40248</v>
      </c>
      <c r="G1600" s="11">
        <v>60000</v>
      </c>
      <c r="H1600" s="11">
        <v>60000</v>
      </c>
      <c r="I1600" s="4" t="s">
        <v>687</v>
      </c>
      <c r="J1600" s="4" t="s">
        <v>688</v>
      </c>
      <c r="K1600" s="11">
        <v>0</v>
      </c>
      <c r="L1600" s="4"/>
      <c r="M1600" s="4"/>
      <c r="N1600" s="11">
        <v>0</v>
      </c>
      <c r="O1600" s="4"/>
      <c r="P1600" s="4"/>
      <c r="Q1600" s="11">
        <v>0</v>
      </c>
      <c r="R1600" s="4"/>
      <c r="S1600" s="12"/>
    </row>
    <row r="1601" spans="1:19" x14ac:dyDescent="0.25">
      <c r="A1601" s="9" t="s">
        <v>485</v>
      </c>
      <c r="B1601" s="9" t="s">
        <v>485</v>
      </c>
      <c r="C1601" s="4">
        <v>201002263</v>
      </c>
      <c r="D1601" s="4"/>
      <c r="E1601" s="4" t="str">
        <f>"044562010"</f>
        <v>044562010</v>
      </c>
      <c r="F1601" s="10">
        <v>40245</v>
      </c>
      <c r="G1601" s="11">
        <v>8133.84</v>
      </c>
      <c r="H1601" s="11">
        <v>8133.84</v>
      </c>
      <c r="I1601" s="4" t="s">
        <v>54</v>
      </c>
      <c r="J1601" s="4" t="s">
        <v>55</v>
      </c>
      <c r="K1601" s="11">
        <v>0</v>
      </c>
      <c r="L1601" s="4"/>
      <c r="M1601" s="4"/>
      <c r="N1601" s="11">
        <v>0</v>
      </c>
      <c r="O1601" s="4"/>
      <c r="P1601" s="4"/>
      <c r="Q1601" s="11">
        <v>0</v>
      </c>
      <c r="R1601" s="4"/>
      <c r="S1601" s="12"/>
    </row>
    <row r="1602" spans="1:19" x14ac:dyDescent="0.25">
      <c r="A1602" s="9" t="s">
        <v>485</v>
      </c>
      <c r="B1602" s="9" t="s">
        <v>485</v>
      </c>
      <c r="C1602" s="4">
        <v>201002270</v>
      </c>
      <c r="D1602" s="4"/>
      <c r="E1602" s="4" t="str">
        <f>"044542010"</f>
        <v>044542010</v>
      </c>
      <c r="F1602" s="10">
        <v>40245</v>
      </c>
      <c r="G1602" s="11">
        <v>11666.13</v>
      </c>
      <c r="H1602" s="11">
        <v>11666.13</v>
      </c>
      <c r="I1602" s="4" t="s">
        <v>366</v>
      </c>
      <c r="J1602" s="4" t="s">
        <v>367</v>
      </c>
      <c r="K1602" s="11">
        <v>0</v>
      </c>
      <c r="L1602" s="4"/>
      <c r="M1602" s="4"/>
      <c r="N1602" s="11">
        <v>0</v>
      </c>
      <c r="O1602" s="4"/>
      <c r="P1602" s="4"/>
      <c r="Q1602" s="11">
        <v>0</v>
      </c>
      <c r="R1602" s="4"/>
      <c r="S1602" s="12"/>
    </row>
    <row r="1603" spans="1:19" x14ac:dyDescent="0.25">
      <c r="A1603" s="9" t="s">
        <v>485</v>
      </c>
      <c r="B1603" s="9" t="s">
        <v>485</v>
      </c>
      <c r="C1603" s="4">
        <v>201002280</v>
      </c>
      <c r="D1603" s="4" t="s">
        <v>2064</v>
      </c>
      <c r="E1603" s="4" t="str">
        <f>"047622010"</f>
        <v>047622010</v>
      </c>
      <c r="F1603" s="10">
        <v>40253</v>
      </c>
      <c r="G1603" s="11">
        <v>150000</v>
      </c>
      <c r="H1603" s="11">
        <v>150000</v>
      </c>
      <c r="I1603" s="4" t="s">
        <v>687</v>
      </c>
      <c r="J1603" s="4" t="s">
        <v>688</v>
      </c>
      <c r="K1603" s="11">
        <v>0</v>
      </c>
      <c r="L1603" s="4"/>
      <c r="M1603" s="4"/>
      <c r="N1603" s="11">
        <v>0</v>
      </c>
      <c r="O1603" s="4"/>
      <c r="P1603" s="4"/>
      <c r="Q1603" s="11">
        <v>0</v>
      </c>
      <c r="R1603" s="4"/>
      <c r="S1603" s="12"/>
    </row>
    <row r="1604" spans="1:19" x14ac:dyDescent="0.25">
      <c r="A1604" s="9" t="s">
        <v>485</v>
      </c>
      <c r="B1604" s="9" t="s">
        <v>485</v>
      </c>
      <c r="C1604" s="4">
        <v>201002296</v>
      </c>
      <c r="D1604" s="4"/>
      <c r="E1604" s="4" t="str">
        <f>"044762010"</f>
        <v>044762010</v>
      </c>
      <c r="F1604" s="10">
        <v>40245</v>
      </c>
      <c r="G1604" s="11">
        <v>3200.97</v>
      </c>
      <c r="H1604" s="11">
        <v>3200.97</v>
      </c>
      <c r="I1604" s="4" t="s">
        <v>366</v>
      </c>
      <c r="J1604" s="4" t="s">
        <v>367</v>
      </c>
      <c r="K1604" s="11">
        <v>0</v>
      </c>
      <c r="L1604" s="4"/>
      <c r="M1604" s="4"/>
      <c r="N1604" s="11">
        <v>0</v>
      </c>
      <c r="O1604" s="4"/>
      <c r="P1604" s="4"/>
      <c r="Q1604" s="11">
        <v>0</v>
      </c>
      <c r="R1604" s="4"/>
      <c r="S1604" s="12"/>
    </row>
    <row r="1605" spans="1:19" x14ac:dyDescent="0.25">
      <c r="A1605" s="9" t="s">
        <v>485</v>
      </c>
      <c r="B1605" s="9" t="s">
        <v>485</v>
      </c>
      <c r="C1605" s="4">
        <v>201002298</v>
      </c>
      <c r="D1605" s="4" t="s">
        <v>2065</v>
      </c>
      <c r="E1605" s="4" t="str">
        <f>"047382010"</f>
        <v>047382010</v>
      </c>
      <c r="F1605" s="10">
        <v>40252</v>
      </c>
      <c r="G1605" s="11">
        <v>200000</v>
      </c>
      <c r="H1605" s="11">
        <v>200000</v>
      </c>
      <c r="I1605" s="4" t="s">
        <v>687</v>
      </c>
      <c r="J1605" s="4" t="s">
        <v>688</v>
      </c>
      <c r="K1605" s="11">
        <v>0</v>
      </c>
      <c r="L1605" s="4"/>
      <c r="M1605" s="4"/>
      <c r="N1605" s="11">
        <v>0</v>
      </c>
      <c r="O1605" s="4"/>
      <c r="P1605" s="4"/>
      <c r="Q1605" s="11">
        <v>0</v>
      </c>
      <c r="R1605" s="4"/>
      <c r="S1605" s="12"/>
    </row>
    <row r="1606" spans="1:19" x14ac:dyDescent="0.25">
      <c r="A1606" s="9" t="s">
        <v>485</v>
      </c>
      <c r="B1606" s="9" t="s">
        <v>485</v>
      </c>
      <c r="C1606" s="4">
        <v>201002329</v>
      </c>
      <c r="D1606" s="4" t="s">
        <v>2039</v>
      </c>
      <c r="E1606" s="4" t="str">
        <f>"048182010"</f>
        <v>048182010</v>
      </c>
      <c r="F1606" s="10">
        <v>40254</v>
      </c>
      <c r="G1606" s="11">
        <v>550000</v>
      </c>
      <c r="H1606" s="11">
        <v>550000</v>
      </c>
      <c r="I1606" s="4" t="s">
        <v>687</v>
      </c>
      <c r="J1606" s="4" t="s">
        <v>688</v>
      </c>
      <c r="K1606" s="11">
        <v>0</v>
      </c>
      <c r="L1606" s="4"/>
      <c r="M1606" s="4"/>
      <c r="N1606" s="11">
        <v>0</v>
      </c>
      <c r="O1606" s="4"/>
      <c r="P1606" s="4"/>
      <c r="Q1606" s="11">
        <v>0</v>
      </c>
      <c r="R1606" s="4"/>
      <c r="S1606" s="12"/>
    </row>
    <row r="1607" spans="1:19" x14ac:dyDescent="0.25">
      <c r="A1607" s="9" t="s">
        <v>485</v>
      </c>
      <c r="B1607" s="9" t="s">
        <v>485</v>
      </c>
      <c r="C1607" s="4">
        <v>201002333</v>
      </c>
      <c r="D1607" s="4" t="s">
        <v>2066</v>
      </c>
      <c r="E1607" s="4" t="str">
        <f>"047122010"</f>
        <v>047122010</v>
      </c>
      <c r="F1607" s="10">
        <v>40252</v>
      </c>
      <c r="G1607" s="11">
        <v>5879.46</v>
      </c>
      <c r="H1607" s="11">
        <v>5879.46</v>
      </c>
      <c r="I1607" s="4" t="s">
        <v>366</v>
      </c>
      <c r="J1607" s="4" t="s">
        <v>367</v>
      </c>
      <c r="K1607" s="11">
        <v>0</v>
      </c>
      <c r="L1607" s="4"/>
      <c r="M1607" s="4"/>
      <c r="N1607" s="11">
        <v>0</v>
      </c>
      <c r="O1607" s="4"/>
      <c r="P1607" s="4"/>
      <c r="Q1607" s="11">
        <v>0</v>
      </c>
      <c r="R1607" s="4"/>
      <c r="S1607" s="12"/>
    </row>
    <row r="1608" spans="1:19" x14ac:dyDescent="0.25">
      <c r="A1608" s="9" t="s">
        <v>485</v>
      </c>
      <c r="B1608" s="9" t="s">
        <v>485</v>
      </c>
      <c r="C1608" s="4">
        <v>201002345</v>
      </c>
      <c r="D1608" s="4"/>
      <c r="E1608" s="4" t="str">
        <f>"046402010"</f>
        <v>046402010</v>
      </c>
      <c r="F1608" s="10">
        <v>40252</v>
      </c>
      <c r="G1608" s="11">
        <v>5158.1000000000004</v>
      </c>
      <c r="H1608" s="11">
        <v>5158.1000000000004</v>
      </c>
      <c r="I1608" s="4" t="s">
        <v>366</v>
      </c>
      <c r="J1608" s="4" t="s">
        <v>367</v>
      </c>
      <c r="K1608" s="11">
        <v>0</v>
      </c>
      <c r="L1608" s="4"/>
      <c r="M1608" s="4"/>
      <c r="N1608" s="11">
        <v>0</v>
      </c>
      <c r="O1608" s="4"/>
      <c r="P1608" s="4"/>
      <c r="Q1608" s="11">
        <v>0</v>
      </c>
      <c r="R1608" s="4"/>
      <c r="S1608" s="12"/>
    </row>
    <row r="1609" spans="1:19" x14ac:dyDescent="0.25">
      <c r="A1609" s="9" t="s">
        <v>485</v>
      </c>
      <c r="B1609" s="9" t="s">
        <v>485</v>
      </c>
      <c r="C1609" s="4">
        <v>201002366</v>
      </c>
      <c r="D1609" s="4"/>
      <c r="E1609" s="4" t="str">
        <f>"047602010"</f>
        <v>047602010</v>
      </c>
      <c r="F1609" s="10">
        <v>40253</v>
      </c>
      <c r="G1609" s="11">
        <v>3325.61</v>
      </c>
      <c r="H1609" s="11">
        <v>3325.61</v>
      </c>
      <c r="I1609" s="4" t="s">
        <v>366</v>
      </c>
      <c r="J1609" s="4" t="s">
        <v>367</v>
      </c>
      <c r="K1609" s="11">
        <v>0</v>
      </c>
      <c r="L1609" s="4"/>
      <c r="M1609" s="4"/>
      <c r="N1609" s="11">
        <v>0</v>
      </c>
      <c r="O1609" s="4"/>
      <c r="P1609" s="4"/>
      <c r="Q1609" s="11">
        <v>0</v>
      </c>
      <c r="R1609" s="4"/>
      <c r="S1609" s="12"/>
    </row>
    <row r="1610" spans="1:19" x14ac:dyDescent="0.25">
      <c r="A1610" s="9" t="s">
        <v>485</v>
      </c>
      <c r="B1610" s="9" t="s">
        <v>485</v>
      </c>
      <c r="C1610" s="4">
        <v>201002371</v>
      </c>
      <c r="D1610" s="4" t="s">
        <v>2067</v>
      </c>
      <c r="E1610" s="4" t="str">
        <f>"047882010"</f>
        <v>047882010</v>
      </c>
      <c r="F1610" s="10">
        <v>40254</v>
      </c>
      <c r="G1610" s="11">
        <v>3000</v>
      </c>
      <c r="H1610" s="11">
        <v>3000</v>
      </c>
      <c r="I1610" s="4" t="s">
        <v>366</v>
      </c>
      <c r="J1610" s="4" t="s">
        <v>367</v>
      </c>
      <c r="K1610" s="11">
        <v>0</v>
      </c>
      <c r="L1610" s="4"/>
      <c r="M1610" s="4"/>
      <c r="N1610" s="11">
        <v>0</v>
      </c>
      <c r="O1610" s="4"/>
      <c r="P1610" s="4"/>
      <c r="Q1610" s="11">
        <v>0</v>
      </c>
      <c r="R1610" s="4"/>
      <c r="S1610" s="12"/>
    </row>
    <row r="1611" spans="1:19" x14ac:dyDescent="0.25">
      <c r="A1611" s="9" t="s">
        <v>485</v>
      </c>
      <c r="B1611" s="9" t="s">
        <v>485</v>
      </c>
      <c r="C1611" s="4">
        <v>201002377</v>
      </c>
      <c r="D1611" s="4"/>
      <c r="E1611" s="4" t="str">
        <f>"046842010"</f>
        <v>046842010</v>
      </c>
      <c r="F1611" s="10">
        <v>40252</v>
      </c>
      <c r="G1611" s="11">
        <v>4410.68</v>
      </c>
      <c r="H1611" s="11">
        <v>4410.68</v>
      </c>
      <c r="I1611" s="4" t="s">
        <v>366</v>
      </c>
      <c r="J1611" s="4" t="s">
        <v>367</v>
      </c>
      <c r="K1611" s="11">
        <v>0</v>
      </c>
      <c r="L1611" s="4"/>
      <c r="M1611" s="4"/>
      <c r="N1611" s="11">
        <v>0</v>
      </c>
      <c r="O1611" s="4"/>
      <c r="P1611" s="4"/>
      <c r="Q1611" s="11">
        <v>0</v>
      </c>
      <c r="R1611" s="4"/>
      <c r="S1611" s="12"/>
    </row>
    <row r="1612" spans="1:19" x14ac:dyDescent="0.25">
      <c r="A1612" s="9" t="s">
        <v>485</v>
      </c>
      <c r="B1612" s="9" t="s">
        <v>485</v>
      </c>
      <c r="C1612" s="4">
        <v>201002378</v>
      </c>
      <c r="D1612" s="4"/>
      <c r="E1612" s="4" t="str">
        <f>"046822010"</f>
        <v>046822010</v>
      </c>
      <c r="F1612" s="10">
        <v>40252</v>
      </c>
      <c r="G1612" s="11">
        <v>5425.08</v>
      </c>
      <c r="H1612" s="11">
        <v>5425.08</v>
      </c>
      <c r="I1612" s="4" t="s">
        <v>54</v>
      </c>
      <c r="J1612" s="4" t="s">
        <v>55</v>
      </c>
      <c r="K1612" s="11">
        <v>0</v>
      </c>
      <c r="L1612" s="4"/>
      <c r="M1612" s="4"/>
      <c r="N1612" s="11">
        <v>0</v>
      </c>
      <c r="O1612" s="4"/>
      <c r="P1612" s="4"/>
      <c r="Q1612" s="11">
        <v>0</v>
      </c>
      <c r="R1612" s="4"/>
      <c r="S1612" s="12"/>
    </row>
    <row r="1613" spans="1:19" x14ac:dyDescent="0.25">
      <c r="A1613" s="9" t="s">
        <v>485</v>
      </c>
      <c r="B1613" s="9" t="s">
        <v>485</v>
      </c>
      <c r="C1613" s="4">
        <v>201002381</v>
      </c>
      <c r="D1613" s="4"/>
      <c r="E1613" s="4" t="str">
        <f>"046542010"</f>
        <v>046542010</v>
      </c>
      <c r="F1613" s="10">
        <v>40252</v>
      </c>
      <c r="G1613" s="11">
        <v>3723.45</v>
      </c>
      <c r="H1613" s="11">
        <v>3723.45</v>
      </c>
      <c r="I1613" s="4" t="s">
        <v>366</v>
      </c>
      <c r="J1613" s="4" t="s">
        <v>367</v>
      </c>
      <c r="K1613" s="11">
        <v>0</v>
      </c>
      <c r="L1613" s="4"/>
      <c r="M1613" s="4"/>
      <c r="N1613" s="11">
        <v>0</v>
      </c>
      <c r="O1613" s="4"/>
      <c r="P1613" s="4"/>
      <c r="Q1613" s="11">
        <v>0</v>
      </c>
      <c r="R1613" s="4"/>
      <c r="S1613" s="12"/>
    </row>
    <row r="1614" spans="1:19" x14ac:dyDescent="0.25">
      <c r="A1614" s="9" t="s">
        <v>485</v>
      </c>
      <c r="B1614" s="9" t="s">
        <v>485</v>
      </c>
      <c r="C1614" s="4">
        <v>201002388</v>
      </c>
      <c r="D1614" s="4"/>
      <c r="E1614" s="4" t="str">
        <f>"047042010"</f>
        <v>047042010</v>
      </c>
      <c r="F1614" s="10">
        <v>40252</v>
      </c>
      <c r="G1614" s="11">
        <v>33009.68</v>
      </c>
      <c r="H1614" s="11">
        <v>33009.68</v>
      </c>
      <c r="I1614" s="4" t="s">
        <v>54</v>
      </c>
      <c r="J1614" s="4" t="s">
        <v>55</v>
      </c>
      <c r="K1614" s="11">
        <v>0</v>
      </c>
      <c r="L1614" s="4"/>
      <c r="M1614" s="4"/>
      <c r="N1614" s="11">
        <v>0</v>
      </c>
      <c r="O1614" s="4"/>
      <c r="P1614" s="4"/>
      <c r="Q1614" s="11">
        <v>0</v>
      </c>
      <c r="R1614" s="4"/>
      <c r="S1614" s="12"/>
    </row>
    <row r="1615" spans="1:19" x14ac:dyDescent="0.25">
      <c r="A1615" s="9" t="s">
        <v>485</v>
      </c>
      <c r="B1615" s="9" t="s">
        <v>485</v>
      </c>
      <c r="C1615" s="4">
        <v>201002389</v>
      </c>
      <c r="D1615" s="4"/>
      <c r="E1615" s="4" t="str">
        <f>"047022010"</f>
        <v>047022010</v>
      </c>
      <c r="F1615" s="10">
        <v>40252</v>
      </c>
      <c r="G1615" s="11">
        <v>4493.2700000000004</v>
      </c>
      <c r="H1615" s="11">
        <v>4493.2700000000004</v>
      </c>
      <c r="I1615" s="4" t="s">
        <v>366</v>
      </c>
      <c r="J1615" s="4" t="s">
        <v>367</v>
      </c>
      <c r="K1615" s="11">
        <v>0</v>
      </c>
      <c r="L1615" s="4"/>
      <c r="M1615" s="4"/>
      <c r="N1615" s="11">
        <v>0</v>
      </c>
      <c r="O1615" s="4"/>
      <c r="P1615" s="4"/>
      <c r="Q1615" s="11">
        <v>0</v>
      </c>
      <c r="R1615" s="4"/>
      <c r="S1615" s="12"/>
    </row>
    <row r="1616" spans="1:19" x14ac:dyDescent="0.25">
      <c r="A1616" s="9" t="s">
        <v>485</v>
      </c>
      <c r="B1616" s="9" t="s">
        <v>485</v>
      </c>
      <c r="C1616" s="4">
        <v>201002390</v>
      </c>
      <c r="D1616" s="4" t="s">
        <v>2068</v>
      </c>
      <c r="E1616" s="4" t="str">
        <f>"048002010"</f>
        <v>048002010</v>
      </c>
      <c r="F1616" s="10">
        <v>40253</v>
      </c>
      <c r="G1616" s="11">
        <v>112500</v>
      </c>
      <c r="H1616" s="11">
        <v>112500</v>
      </c>
      <c r="I1616" s="4" t="s">
        <v>1752</v>
      </c>
      <c r="J1616" s="4" t="s">
        <v>1753</v>
      </c>
      <c r="K1616" s="11">
        <v>0</v>
      </c>
      <c r="L1616" s="4"/>
      <c r="M1616" s="4"/>
      <c r="N1616" s="11">
        <v>0</v>
      </c>
      <c r="O1616" s="4"/>
      <c r="P1616" s="4"/>
      <c r="Q1616" s="11">
        <v>0</v>
      </c>
      <c r="R1616" s="4"/>
      <c r="S1616" s="12"/>
    </row>
    <row r="1617" spans="1:19" x14ac:dyDescent="0.25">
      <c r="A1617" s="9" t="s">
        <v>485</v>
      </c>
      <c r="B1617" s="9" t="s">
        <v>485</v>
      </c>
      <c r="C1617" s="4">
        <v>201002392</v>
      </c>
      <c r="D1617" s="4" t="s">
        <v>2069</v>
      </c>
      <c r="E1617" s="4" t="str">
        <f>"049362010"</f>
        <v>049362010</v>
      </c>
      <c r="F1617" s="10">
        <v>40260</v>
      </c>
      <c r="G1617" s="11">
        <v>380000</v>
      </c>
      <c r="H1617" s="11">
        <v>380000</v>
      </c>
      <c r="I1617" s="4" t="s">
        <v>687</v>
      </c>
      <c r="J1617" s="4" t="s">
        <v>688</v>
      </c>
      <c r="K1617" s="11">
        <v>0</v>
      </c>
      <c r="L1617" s="4"/>
      <c r="M1617" s="4"/>
      <c r="N1617" s="11">
        <v>0</v>
      </c>
      <c r="O1617" s="4"/>
      <c r="P1617" s="4"/>
      <c r="Q1617" s="11">
        <v>0</v>
      </c>
      <c r="R1617" s="4"/>
      <c r="S1617" s="12"/>
    </row>
    <row r="1618" spans="1:19" x14ac:dyDescent="0.25">
      <c r="A1618" s="9" t="s">
        <v>485</v>
      </c>
      <c r="B1618" s="9" t="s">
        <v>485</v>
      </c>
      <c r="C1618" s="4">
        <v>201002394</v>
      </c>
      <c r="D1618" s="4"/>
      <c r="E1618" s="4" t="str">
        <f>"047522010"</f>
        <v>047522010</v>
      </c>
      <c r="F1618" s="10">
        <v>40253</v>
      </c>
      <c r="G1618" s="11">
        <v>4005.1</v>
      </c>
      <c r="H1618" s="11">
        <v>4005.1</v>
      </c>
      <c r="I1618" s="4" t="s">
        <v>366</v>
      </c>
      <c r="J1618" s="4" t="s">
        <v>367</v>
      </c>
      <c r="K1618" s="11">
        <v>0</v>
      </c>
      <c r="L1618" s="4"/>
      <c r="M1618" s="4"/>
      <c r="N1618" s="11">
        <v>0</v>
      </c>
      <c r="O1618" s="4"/>
      <c r="P1618" s="4"/>
      <c r="Q1618" s="11">
        <v>0</v>
      </c>
      <c r="R1618" s="4"/>
      <c r="S1618" s="12"/>
    </row>
    <row r="1619" spans="1:19" x14ac:dyDescent="0.25">
      <c r="A1619" s="9" t="s">
        <v>485</v>
      </c>
      <c r="B1619" s="9" t="s">
        <v>485</v>
      </c>
      <c r="C1619" s="4">
        <v>201002398</v>
      </c>
      <c r="D1619" s="4"/>
      <c r="E1619" s="4" t="str">
        <f>"048042010"</f>
        <v>048042010</v>
      </c>
      <c r="F1619" s="10">
        <v>40253</v>
      </c>
      <c r="G1619" s="11">
        <v>3805.58</v>
      </c>
      <c r="H1619" s="11">
        <v>3805.58</v>
      </c>
      <c r="I1619" s="4" t="s">
        <v>54</v>
      </c>
      <c r="J1619" s="4" t="s">
        <v>55</v>
      </c>
      <c r="K1619" s="11">
        <v>0</v>
      </c>
      <c r="L1619" s="4"/>
      <c r="M1619" s="4"/>
      <c r="N1619" s="11">
        <v>0</v>
      </c>
      <c r="O1619" s="4"/>
      <c r="P1619" s="4"/>
      <c r="Q1619" s="11">
        <v>0</v>
      </c>
      <c r="R1619" s="4"/>
      <c r="S1619" s="12"/>
    </row>
    <row r="1620" spans="1:19" x14ac:dyDescent="0.25">
      <c r="A1620" s="9" t="s">
        <v>485</v>
      </c>
      <c r="B1620" s="9" t="s">
        <v>485</v>
      </c>
      <c r="C1620" s="4">
        <v>201002403</v>
      </c>
      <c r="D1620" s="4" t="s">
        <v>2070</v>
      </c>
      <c r="E1620" s="4" t="str">
        <f>"048582010"</f>
        <v>048582010</v>
      </c>
      <c r="F1620" s="10">
        <v>40255</v>
      </c>
      <c r="G1620" s="11">
        <v>6325.92</v>
      </c>
      <c r="H1620" s="11">
        <v>6325.92</v>
      </c>
      <c r="I1620" s="4" t="s">
        <v>366</v>
      </c>
      <c r="J1620" s="4" t="s">
        <v>367</v>
      </c>
      <c r="K1620" s="11">
        <v>0</v>
      </c>
      <c r="L1620" s="4"/>
      <c r="M1620" s="4"/>
      <c r="N1620" s="11">
        <v>0</v>
      </c>
      <c r="O1620" s="4"/>
      <c r="P1620" s="4"/>
      <c r="Q1620" s="11">
        <v>0</v>
      </c>
      <c r="R1620" s="4"/>
      <c r="S1620" s="12"/>
    </row>
    <row r="1621" spans="1:19" x14ac:dyDescent="0.25">
      <c r="A1621" s="9" t="s">
        <v>485</v>
      </c>
      <c r="B1621" s="9" t="s">
        <v>485</v>
      </c>
      <c r="C1621" s="4">
        <v>201002410</v>
      </c>
      <c r="D1621" s="4"/>
      <c r="E1621" s="4" t="str">
        <f>"048202010"</f>
        <v>048202010</v>
      </c>
      <c r="F1621" s="10">
        <v>40255</v>
      </c>
      <c r="G1621" s="11">
        <v>4057.71</v>
      </c>
      <c r="H1621" s="11">
        <v>4057.71</v>
      </c>
      <c r="I1621" s="4" t="s">
        <v>366</v>
      </c>
      <c r="J1621" s="4" t="s">
        <v>367</v>
      </c>
      <c r="K1621" s="11">
        <v>0</v>
      </c>
      <c r="L1621" s="4"/>
      <c r="M1621" s="4"/>
      <c r="N1621" s="11">
        <v>0</v>
      </c>
      <c r="O1621" s="4"/>
      <c r="P1621" s="4"/>
      <c r="Q1621" s="11">
        <v>0</v>
      </c>
      <c r="R1621" s="4"/>
      <c r="S1621" s="12"/>
    </row>
    <row r="1622" spans="1:19" x14ac:dyDescent="0.25">
      <c r="A1622" s="9" t="s">
        <v>485</v>
      </c>
      <c r="B1622" s="9" t="s">
        <v>485</v>
      </c>
      <c r="C1622" s="4">
        <v>201002413</v>
      </c>
      <c r="D1622" s="4"/>
      <c r="E1622" s="4" t="str">
        <f>"051902010"</f>
        <v>051902010</v>
      </c>
      <c r="F1622" s="10">
        <v>40263</v>
      </c>
      <c r="G1622" s="11">
        <v>532791.25</v>
      </c>
      <c r="H1622" s="11">
        <v>532791.25</v>
      </c>
      <c r="I1622" s="4" t="s">
        <v>1859</v>
      </c>
      <c r="J1622" s="4" t="s">
        <v>1860</v>
      </c>
      <c r="K1622" s="11">
        <v>0</v>
      </c>
      <c r="L1622" s="4"/>
      <c r="M1622" s="4"/>
      <c r="N1622" s="11">
        <v>0</v>
      </c>
      <c r="O1622" s="4"/>
      <c r="P1622" s="4"/>
      <c r="Q1622" s="11">
        <v>0</v>
      </c>
      <c r="R1622" s="4"/>
      <c r="S1622" s="12"/>
    </row>
    <row r="1623" spans="1:19" x14ac:dyDescent="0.25">
      <c r="A1623" s="9" t="s">
        <v>485</v>
      </c>
      <c r="B1623" s="9" t="s">
        <v>485</v>
      </c>
      <c r="C1623" s="4">
        <v>201002414</v>
      </c>
      <c r="D1623" s="4"/>
      <c r="E1623" s="4" t="str">
        <f>"052922010"</f>
        <v>052922010</v>
      </c>
      <c r="F1623" s="10">
        <v>40273</v>
      </c>
      <c r="G1623" s="11">
        <v>69842.63</v>
      </c>
      <c r="H1623" s="11">
        <v>69842.63</v>
      </c>
      <c r="I1623" s="4" t="s">
        <v>1859</v>
      </c>
      <c r="J1623" s="4" t="s">
        <v>1860</v>
      </c>
      <c r="K1623" s="11">
        <v>0</v>
      </c>
      <c r="L1623" s="4"/>
      <c r="M1623" s="4"/>
      <c r="N1623" s="11">
        <v>0</v>
      </c>
      <c r="O1623" s="4"/>
      <c r="P1623" s="4"/>
      <c r="Q1623" s="11">
        <v>0</v>
      </c>
      <c r="R1623" s="4"/>
      <c r="S1623" s="12"/>
    </row>
    <row r="1624" spans="1:19" x14ac:dyDescent="0.25">
      <c r="A1624" s="9" t="s">
        <v>485</v>
      </c>
      <c r="B1624" s="9" t="s">
        <v>485</v>
      </c>
      <c r="C1624" s="4">
        <v>201002427</v>
      </c>
      <c r="D1624" s="4"/>
      <c r="E1624" s="4" t="str">
        <f>"048342010"</f>
        <v>048342010</v>
      </c>
      <c r="F1624" s="10">
        <v>40255</v>
      </c>
      <c r="G1624" s="11">
        <v>4303</v>
      </c>
      <c r="H1624" s="11">
        <v>4303</v>
      </c>
      <c r="I1624" s="4" t="s">
        <v>366</v>
      </c>
      <c r="J1624" s="4" t="s">
        <v>367</v>
      </c>
      <c r="K1624" s="11">
        <v>0</v>
      </c>
      <c r="L1624" s="4"/>
      <c r="M1624" s="4"/>
      <c r="N1624" s="11">
        <v>0</v>
      </c>
      <c r="O1624" s="4"/>
      <c r="P1624" s="4"/>
      <c r="Q1624" s="11">
        <v>0</v>
      </c>
      <c r="R1624" s="4"/>
      <c r="S1624" s="12"/>
    </row>
    <row r="1625" spans="1:19" x14ac:dyDescent="0.25">
      <c r="A1625" s="9" t="s">
        <v>485</v>
      </c>
      <c r="B1625" s="9" t="s">
        <v>485</v>
      </c>
      <c r="C1625" s="4">
        <v>201002441</v>
      </c>
      <c r="D1625" s="4"/>
      <c r="E1625" s="4" t="str">
        <f>"048462010"</f>
        <v>048462010</v>
      </c>
      <c r="F1625" s="10">
        <v>40255</v>
      </c>
      <c r="G1625" s="11">
        <v>7110.4</v>
      </c>
      <c r="H1625" s="11">
        <v>7110.4</v>
      </c>
      <c r="I1625" s="4" t="s">
        <v>366</v>
      </c>
      <c r="J1625" s="4" t="s">
        <v>367</v>
      </c>
      <c r="K1625" s="11">
        <v>0</v>
      </c>
      <c r="L1625" s="4"/>
      <c r="M1625" s="4"/>
      <c r="N1625" s="11">
        <v>0</v>
      </c>
      <c r="O1625" s="4"/>
      <c r="P1625" s="4"/>
      <c r="Q1625" s="11">
        <v>0</v>
      </c>
      <c r="R1625" s="4"/>
      <c r="S1625" s="12"/>
    </row>
    <row r="1626" spans="1:19" x14ac:dyDescent="0.25">
      <c r="A1626" s="9" t="s">
        <v>485</v>
      </c>
      <c r="B1626" s="9" t="s">
        <v>485</v>
      </c>
      <c r="C1626" s="4">
        <v>201002449</v>
      </c>
      <c r="D1626" s="4"/>
      <c r="E1626" s="4" t="str">
        <f>"048832010"</f>
        <v>048832010</v>
      </c>
      <c r="F1626" s="10">
        <v>40259</v>
      </c>
      <c r="G1626" s="11">
        <v>97951.03</v>
      </c>
      <c r="H1626" s="11">
        <v>97951.03</v>
      </c>
      <c r="I1626" s="4" t="s">
        <v>366</v>
      </c>
      <c r="J1626" s="4" t="s">
        <v>367</v>
      </c>
      <c r="K1626" s="11">
        <v>0</v>
      </c>
      <c r="L1626" s="4"/>
      <c r="M1626" s="4"/>
      <c r="N1626" s="11">
        <v>0</v>
      </c>
      <c r="O1626" s="4"/>
      <c r="P1626" s="4"/>
      <c r="Q1626" s="11">
        <v>0</v>
      </c>
      <c r="R1626" s="4"/>
      <c r="S1626" s="12"/>
    </row>
    <row r="1627" spans="1:19" x14ac:dyDescent="0.25">
      <c r="A1627" s="9" t="s">
        <v>485</v>
      </c>
      <c r="B1627" s="9" t="s">
        <v>485</v>
      </c>
      <c r="C1627" s="4">
        <v>201002452</v>
      </c>
      <c r="D1627" s="4"/>
      <c r="E1627" s="4" t="str">
        <f>"050022010"</f>
        <v>050022010</v>
      </c>
      <c r="F1627" s="10">
        <v>40262</v>
      </c>
      <c r="G1627" s="11">
        <v>2850</v>
      </c>
      <c r="H1627" s="11">
        <v>2850</v>
      </c>
      <c r="I1627" s="4" t="s">
        <v>366</v>
      </c>
      <c r="J1627" s="4" t="s">
        <v>367</v>
      </c>
      <c r="K1627" s="11">
        <v>0</v>
      </c>
      <c r="L1627" s="4"/>
      <c r="M1627" s="4"/>
      <c r="N1627" s="11">
        <v>0</v>
      </c>
      <c r="O1627" s="4"/>
      <c r="P1627" s="4"/>
      <c r="Q1627" s="11">
        <v>0</v>
      </c>
      <c r="R1627" s="4"/>
      <c r="S1627" s="12"/>
    </row>
    <row r="1628" spans="1:19" x14ac:dyDescent="0.25">
      <c r="A1628" s="9" t="s">
        <v>485</v>
      </c>
      <c r="B1628" s="9" t="s">
        <v>485</v>
      </c>
      <c r="C1628" s="4">
        <v>201002454</v>
      </c>
      <c r="D1628" s="4"/>
      <c r="E1628" s="4" t="str">
        <f>"048852010"</f>
        <v>048852010</v>
      </c>
      <c r="F1628" s="10">
        <v>40259</v>
      </c>
      <c r="G1628" s="11">
        <v>3663.34</v>
      </c>
      <c r="H1628" s="11">
        <v>3663.34</v>
      </c>
      <c r="I1628" s="4" t="s">
        <v>366</v>
      </c>
      <c r="J1628" s="4" t="s">
        <v>367</v>
      </c>
      <c r="K1628" s="11">
        <v>0</v>
      </c>
      <c r="L1628" s="4"/>
      <c r="M1628" s="4"/>
      <c r="N1628" s="11">
        <v>0</v>
      </c>
      <c r="O1628" s="4"/>
      <c r="P1628" s="4"/>
      <c r="Q1628" s="11">
        <v>0</v>
      </c>
      <c r="R1628" s="4"/>
      <c r="S1628" s="12"/>
    </row>
    <row r="1629" spans="1:19" x14ac:dyDescent="0.25">
      <c r="A1629" s="9" t="s">
        <v>485</v>
      </c>
      <c r="B1629" s="9" t="s">
        <v>485</v>
      </c>
      <c r="C1629" s="4">
        <v>201002500</v>
      </c>
      <c r="D1629" s="4" t="s">
        <v>2071</v>
      </c>
      <c r="E1629" s="4" t="str">
        <f>"050862010"</f>
        <v>050862010</v>
      </c>
      <c r="F1629" s="10">
        <v>40263</v>
      </c>
      <c r="G1629" s="11">
        <v>5000</v>
      </c>
      <c r="H1629" s="11">
        <v>5000</v>
      </c>
      <c r="I1629" s="4" t="s">
        <v>366</v>
      </c>
      <c r="J1629" s="4" t="s">
        <v>367</v>
      </c>
      <c r="K1629" s="11">
        <v>0</v>
      </c>
      <c r="L1629" s="4"/>
      <c r="M1629" s="4"/>
      <c r="N1629" s="11">
        <v>0</v>
      </c>
      <c r="O1629" s="4"/>
      <c r="P1629" s="4"/>
      <c r="Q1629" s="11">
        <v>0</v>
      </c>
      <c r="R1629" s="4"/>
      <c r="S1629" s="12"/>
    </row>
    <row r="1630" spans="1:19" x14ac:dyDescent="0.25">
      <c r="A1630" s="9" t="s">
        <v>485</v>
      </c>
      <c r="B1630" s="9" t="s">
        <v>485</v>
      </c>
      <c r="C1630" s="4">
        <v>201002518</v>
      </c>
      <c r="D1630" s="4"/>
      <c r="E1630" s="4" t="str">
        <f>"049662010"</f>
        <v>049662010</v>
      </c>
      <c r="F1630" s="10">
        <v>40262</v>
      </c>
      <c r="G1630" s="11">
        <v>4530.6499999999996</v>
      </c>
      <c r="H1630" s="11">
        <v>4530.6499999999996</v>
      </c>
      <c r="I1630" s="4" t="s">
        <v>366</v>
      </c>
      <c r="J1630" s="4" t="s">
        <v>367</v>
      </c>
      <c r="K1630" s="11">
        <v>0</v>
      </c>
      <c r="L1630" s="4"/>
      <c r="M1630" s="4"/>
      <c r="N1630" s="11">
        <v>0</v>
      </c>
      <c r="O1630" s="4"/>
      <c r="P1630" s="4"/>
      <c r="Q1630" s="11">
        <v>0</v>
      </c>
      <c r="R1630" s="4"/>
      <c r="S1630" s="12"/>
    </row>
    <row r="1631" spans="1:19" x14ac:dyDescent="0.25">
      <c r="A1631" s="9" t="s">
        <v>485</v>
      </c>
      <c r="B1631" s="9" t="s">
        <v>485</v>
      </c>
      <c r="C1631" s="4">
        <v>201002521</v>
      </c>
      <c r="D1631" s="4" t="s">
        <v>2072</v>
      </c>
      <c r="E1631" s="4" t="str">
        <f>"049742010"</f>
        <v>049742010</v>
      </c>
      <c r="F1631" s="10">
        <v>40262</v>
      </c>
      <c r="G1631" s="11">
        <v>7500</v>
      </c>
      <c r="H1631" s="11">
        <v>7500</v>
      </c>
      <c r="I1631" s="4" t="s">
        <v>366</v>
      </c>
      <c r="J1631" s="4" t="s">
        <v>367</v>
      </c>
      <c r="K1631" s="11">
        <v>0</v>
      </c>
      <c r="L1631" s="4"/>
      <c r="M1631" s="4"/>
      <c r="N1631" s="11">
        <v>0</v>
      </c>
      <c r="O1631" s="4"/>
      <c r="P1631" s="4"/>
      <c r="Q1631" s="11">
        <v>0</v>
      </c>
      <c r="R1631" s="4"/>
      <c r="S1631" s="12"/>
    </row>
    <row r="1632" spans="1:19" x14ac:dyDescent="0.25">
      <c r="A1632" s="9" t="s">
        <v>485</v>
      </c>
      <c r="B1632" s="9" t="s">
        <v>485</v>
      </c>
      <c r="C1632" s="4">
        <v>201002522</v>
      </c>
      <c r="D1632" s="4" t="s">
        <v>2072</v>
      </c>
      <c r="E1632" s="4" t="str">
        <f>"049762010"</f>
        <v>049762010</v>
      </c>
      <c r="F1632" s="10">
        <v>40262</v>
      </c>
      <c r="G1632" s="11">
        <v>14500</v>
      </c>
      <c r="H1632" s="11">
        <v>14500</v>
      </c>
      <c r="I1632" s="4" t="s">
        <v>366</v>
      </c>
      <c r="J1632" s="4" t="s">
        <v>367</v>
      </c>
      <c r="K1632" s="11">
        <v>0</v>
      </c>
      <c r="L1632" s="4"/>
      <c r="M1632" s="4"/>
      <c r="N1632" s="11">
        <v>0</v>
      </c>
      <c r="O1632" s="4"/>
      <c r="P1632" s="4"/>
      <c r="Q1632" s="11">
        <v>0</v>
      </c>
      <c r="R1632" s="4"/>
      <c r="S1632" s="12"/>
    </row>
    <row r="1633" spans="1:19" x14ac:dyDescent="0.25">
      <c r="A1633" s="9" t="s">
        <v>485</v>
      </c>
      <c r="B1633" s="9" t="s">
        <v>485</v>
      </c>
      <c r="C1633" s="4">
        <v>201002526</v>
      </c>
      <c r="D1633" s="4"/>
      <c r="E1633" s="4" t="str">
        <f>"049962010"</f>
        <v>049962010</v>
      </c>
      <c r="F1633" s="10">
        <v>40262</v>
      </c>
      <c r="G1633" s="11">
        <v>3242.45</v>
      </c>
      <c r="H1633" s="11">
        <v>3242.45</v>
      </c>
      <c r="I1633" s="4" t="s">
        <v>54</v>
      </c>
      <c r="J1633" s="4" t="s">
        <v>55</v>
      </c>
      <c r="K1633" s="11">
        <v>0</v>
      </c>
      <c r="L1633" s="4"/>
      <c r="M1633" s="4"/>
      <c r="N1633" s="11">
        <v>0</v>
      </c>
      <c r="O1633" s="4"/>
      <c r="P1633" s="4"/>
      <c r="Q1633" s="11">
        <v>0</v>
      </c>
      <c r="R1633" s="4"/>
      <c r="S1633" s="12"/>
    </row>
    <row r="1634" spans="1:19" x14ac:dyDescent="0.25">
      <c r="A1634" s="9" t="s">
        <v>485</v>
      </c>
      <c r="B1634" s="9" t="s">
        <v>485</v>
      </c>
      <c r="C1634" s="4">
        <v>201002568</v>
      </c>
      <c r="D1634" s="4"/>
      <c r="E1634" s="4" t="str">
        <f>"053102010"</f>
        <v>053102010</v>
      </c>
      <c r="F1634" s="10">
        <v>40274</v>
      </c>
      <c r="G1634" s="11">
        <v>27025</v>
      </c>
      <c r="H1634" s="11">
        <v>27025</v>
      </c>
      <c r="I1634" s="4" t="s">
        <v>366</v>
      </c>
      <c r="J1634" s="4" t="s">
        <v>367</v>
      </c>
      <c r="K1634" s="11">
        <v>0</v>
      </c>
      <c r="L1634" s="4"/>
      <c r="M1634" s="4"/>
      <c r="N1634" s="11">
        <v>0</v>
      </c>
      <c r="O1634" s="4"/>
      <c r="P1634" s="4"/>
      <c r="Q1634" s="11">
        <v>0</v>
      </c>
      <c r="R1634" s="4"/>
      <c r="S1634" s="12"/>
    </row>
    <row r="1635" spans="1:19" x14ac:dyDescent="0.25">
      <c r="A1635" s="9" t="s">
        <v>485</v>
      </c>
      <c r="B1635" s="9" t="s">
        <v>485</v>
      </c>
      <c r="C1635" s="4">
        <v>201002576</v>
      </c>
      <c r="D1635" s="4"/>
      <c r="E1635" s="4" t="str">
        <f>"051022010"</f>
        <v>051022010</v>
      </c>
      <c r="F1635" s="10">
        <v>40263</v>
      </c>
      <c r="G1635" s="11">
        <v>3932.55</v>
      </c>
      <c r="H1635" s="11">
        <v>3932.55</v>
      </c>
      <c r="I1635" s="4" t="s">
        <v>366</v>
      </c>
      <c r="J1635" s="4" t="s">
        <v>367</v>
      </c>
      <c r="K1635" s="11">
        <v>0</v>
      </c>
      <c r="L1635" s="4"/>
      <c r="M1635" s="4"/>
      <c r="N1635" s="11">
        <v>0</v>
      </c>
      <c r="O1635" s="4"/>
      <c r="P1635" s="4"/>
      <c r="Q1635" s="11">
        <v>0</v>
      </c>
      <c r="R1635" s="4"/>
      <c r="S1635" s="12"/>
    </row>
    <row r="1636" spans="1:19" x14ac:dyDescent="0.25">
      <c r="A1636" s="9" t="s">
        <v>485</v>
      </c>
      <c r="B1636" s="9" t="s">
        <v>485</v>
      </c>
      <c r="C1636" s="4">
        <v>201002581</v>
      </c>
      <c r="D1636" s="4"/>
      <c r="E1636" s="4" t="str">
        <f>"076752010"</f>
        <v>076752010</v>
      </c>
      <c r="F1636" s="10">
        <v>40338</v>
      </c>
      <c r="G1636" s="11">
        <v>3833.23</v>
      </c>
      <c r="H1636" s="11">
        <v>3833.23</v>
      </c>
      <c r="I1636" s="4" t="s">
        <v>54</v>
      </c>
      <c r="J1636" s="4" t="s">
        <v>55</v>
      </c>
      <c r="K1636" s="11">
        <v>0</v>
      </c>
      <c r="L1636" s="4"/>
      <c r="M1636" s="4"/>
      <c r="N1636" s="11">
        <v>0</v>
      </c>
      <c r="O1636" s="4"/>
      <c r="P1636" s="4"/>
      <c r="Q1636" s="11">
        <v>0</v>
      </c>
      <c r="R1636" s="4"/>
      <c r="S1636" s="12"/>
    </row>
    <row r="1637" spans="1:19" x14ac:dyDescent="0.25">
      <c r="A1637" s="9" t="s">
        <v>485</v>
      </c>
      <c r="B1637" s="9" t="s">
        <v>485</v>
      </c>
      <c r="C1637" s="4">
        <v>201002598</v>
      </c>
      <c r="D1637" s="4"/>
      <c r="E1637" s="4" t="str">
        <f>"052222010"</f>
        <v>052222010</v>
      </c>
      <c r="F1637" s="10">
        <v>40266</v>
      </c>
      <c r="G1637" s="11">
        <v>3779.45</v>
      </c>
      <c r="H1637" s="11">
        <v>3779.45</v>
      </c>
      <c r="I1637" s="4" t="s">
        <v>366</v>
      </c>
      <c r="J1637" s="4" t="s">
        <v>367</v>
      </c>
      <c r="K1637" s="11">
        <v>0</v>
      </c>
      <c r="L1637" s="4"/>
      <c r="M1637" s="4"/>
      <c r="N1637" s="11">
        <v>0</v>
      </c>
      <c r="O1637" s="4"/>
      <c r="P1637" s="4"/>
      <c r="Q1637" s="11">
        <v>0</v>
      </c>
      <c r="R1637" s="4"/>
      <c r="S1637" s="12"/>
    </row>
    <row r="1638" spans="1:19" x14ac:dyDescent="0.25">
      <c r="A1638" s="9" t="s">
        <v>485</v>
      </c>
      <c r="B1638" s="9" t="s">
        <v>485</v>
      </c>
      <c r="C1638" s="4">
        <v>201002615</v>
      </c>
      <c r="D1638" s="4"/>
      <c r="E1638" s="4" t="str">
        <f>"052362010"</f>
        <v>052362010</v>
      </c>
      <c r="F1638" s="10">
        <v>40266</v>
      </c>
      <c r="G1638" s="11">
        <v>6690.4</v>
      </c>
      <c r="H1638" s="11">
        <v>6690.4</v>
      </c>
      <c r="I1638" s="4" t="s">
        <v>366</v>
      </c>
      <c r="J1638" s="4" t="s">
        <v>367</v>
      </c>
      <c r="K1638" s="11">
        <v>0</v>
      </c>
      <c r="L1638" s="4"/>
      <c r="M1638" s="4"/>
      <c r="N1638" s="11">
        <v>0</v>
      </c>
      <c r="O1638" s="4"/>
      <c r="P1638" s="4"/>
      <c r="Q1638" s="11">
        <v>0</v>
      </c>
      <c r="R1638" s="4"/>
      <c r="S1638" s="12"/>
    </row>
    <row r="1639" spans="1:19" x14ac:dyDescent="0.25">
      <c r="A1639" s="9" t="s">
        <v>485</v>
      </c>
      <c r="B1639" s="9" t="s">
        <v>485</v>
      </c>
      <c r="C1639" s="4">
        <v>201002623</v>
      </c>
      <c r="D1639" s="4"/>
      <c r="E1639" s="4" t="str">
        <f>"052682010"</f>
        <v>052682010</v>
      </c>
      <c r="F1639" s="10">
        <v>40276</v>
      </c>
      <c r="G1639" s="11">
        <v>8347.3700000000008</v>
      </c>
      <c r="H1639" s="11">
        <v>8347.3700000000008</v>
      </c>
      <c r="I1639" s="4" t="s">
        <v>366</v>
      </c>
      <c r="J1639" s="4" t="s">
        <v>367</v>
      </c>
      <c r="K1639" s="11">
        <v>0</v>
      </c>
      <c r="L1639" s="4"/>
      <c r="M1639" s="4"/>
      <c r="N1639" s="11">
        <v>0</v>
      </c>
      <c r="O1639" s="4"/>
      <c r="P1639" s="4"/>
      <c r="Q1639" s="11">
        <v>0</v>
      </c>
      <c r="R1639" s="4"/>
      <c r="S1639" s="12"/>
    </row>
    <row r="1640" spans="1:19" x14ac:dyDescent="0.25">
      <c r="A1640" s="9" t="s">
        <v>485</v>
      </c>
      <c r="B1640" s="9" t="s">
        <v>485</v>
      </c>
      <c r="C1640" s="4">
        <v>201002626</v>
      </c>
      <c r="D1640" s="4"/>
      <c r="E1640" s="4" t="str">
        <f>"059902010"</f>
        <v>059902010</v>
      </c>
      <c r="F1640" s="10">
        <v>40288</v>
      </c>
      <c r="G1640" s="11">
        <v>7044.52</v>
      </c>
      <c r="H1640" s="11">
        <v>7044.52</v>
      </c>
      <c r="I1640" s="4" t="s">
        <v>366</v>
      </c>
      <c r="J1640" s="4" t="s">
        <v>367</v>
      </c>
      <c r="K1640" s="11">
        <v>0</v>
      </c>
      <c r="L1640" s="4"/>
      <c r="M1640" s="4"/>
      <c r="N1640" s="11">
        <v>0</v>
      </c>
      <c r="O1640" s="4"/>
      <c r="P1640" s="4"/>
      <c r="Q1640" s="11">
        <v>0</v>
      </c>
      <c r="R1640" s="4"/>
      <c r="S1640" s="12"/>
    </row>
    <row r="1641" spans="1:19" x14ac:dyDescent="0.25">
      <c r="A1641" s="9" t="s">
        <v>485</v>
      </c>
      <c r="B1641" s="9" t="s">
        <v>485</v>
      </c>
      <c r="C1641" s="4">
        <v>201002633</v>
      </c>
      <c r="D1641" s="4"/>
      <c r="E1641" s="4" t="str">
        <f>"052142010"</f>
        <v>052142010</v>
      </c>
      <c r="F1641" s="10">
        <v>40270</v>
      </c>
      <c r="G1641" s="11">
        <v>3638.11</v>
      </c>
      <c r="H1641" s="11">
        <v>3638.11</v>
      </c>
      <c r="I1641" s="4" t="s">
        <v>54</v>
      </c>
      <c r="J1641" s="4" t="s">
        <v>55</v>
      </c>
      <c r="K1641" s="11">
        <v>0</v>
      </c>
      <c r="L1641" s="4"/>
      <c r="M1641" s="4"/>
      <c r="N1641" s="11">
        <v>0</v>
      </c>
      <c r="O1641" s="4"/>
      <c r="P1641" s="4"/>
      <c r="Q1641" s="11">
        <v>0</v>
      </c>
      <c r="R1641" s="4"/>
      <c r="S1641" s="12"/>
    </row>
    <row r="1642" spans="1:19" x14ac:dyDescent="0.25">
      <c r="A1642" s="9" t="s">
        <v>485</v>
      </c>
      <c r="B1642" s="9" t="s">
        <v>485</v>
      </c>
      <c r="C1642" s="4">
        <v>201002635</v>
      </c>
      <c r="D1642" s="4"/>
      <c r="E1642" s="4" t="str">
        <f>"051942010"</f>
        <v>051942010</v>
      </c>
      <c r="F1642" s="10">
        <v>40263</v>
      </c>
      <c r="G1642" s="11">
        <v>8982.74</v>
      </c>
      <c r="H1642" s="11">
        <v>8982.74</v>
      </c>
      <c r="I1642" s="4" t="s">
        <v>54</v>
      </c>
      <c r="J1642" s="4" t="s">
        <v>55</v>
      </c>
      <c r="K1642" s="11">
        <v>0</v>
      </c>
      <c r="L1642" s="4"/>
      <c r="M1642" s="4"/>
      <c r="N1642" s="11">
        <v>0</v>
      </c>
      <c r="O1642" s="4"/>
      <c r="P1642" s="4"/>
      <c r="Q1642" s="11">
        <v>0</v>
      </c>
      <c r="R1642" s="4"/>
      <c r="S1642" s="12"/>
    </row>
    <row r="1643" spans="1:19" x14ac:dyDescent="0.25">
      <c r="A1643" s="9" t="s">
        <v>485</v>
      </c>
      <c r="B1643" s="9" t="s">
        <v>485</v>
      </c>
      <c r="C1643" s="4">
        <v>201002639</v>
      </c>
      <c r="D1643" s="4"/>
      <c r="E1643" s="4" t="str">
        <f>"052342010"</f>
        <v>052342010</v>
      </c>
      <c r="F1643" s="10">
        <v>40270</v>
      </c>
      <c r="G1643" s="11">
        <v>3161.42</v>
      </c>
      <c r="H1643" s="11">
        <v>3161.42</v>
      </c>
      <c r="I1643" s="4" t="s">
        <v>366</v>
      </c>
      <c r="J1643" s="4" t="s">
        <v>367</v>
      </c>
      <c r="K1643" s="11">
        <v>0</v>
      </c>
      <c r="L1643" s="4"/>
      <c r="M1643" s="4"/>
      <c r="N1643" s="11">
        <v>0</v>
      </c>
      <c r="O1643" s="4"/>
      <c r="P1643" s="4"/>
      <c r="Q1643" s="11">
        <v>0</v>
      </c>
      <c r="R1643" s="4"/>
      <c r="S1643" s="12"/>
    </row>
    <row r="1644" spans="1:19" x14ac:dyDescent="0.25">
      <c r="A1644" s="9" t="s">
        <v>485</v>
      </c>
      <c r="B1644" s="9" t="s">
        <v>485</v>
      </c>
      <c r="C1644" s="4">
        <v>201002652</v>
      </c>
      <c r="D1644" s="4"/>
      <c r="E1644" s="4" t="str">
        <f>"052162010"</f>
        <v>052162010</v>
      </c>
      <c r="F1644" s="10">
        <v>40266</v>
      </c>
      <c r="G1644" s="11">
        <v>5308.98</v>
      </c>
      <c r="H1644" s="11">
        <v>5308.98</v>
      </c>
      <c r="I1644" s="4" t="s">
        <v>366</v>
      </c>
      <c r="J1644" s="4" t="s">
        <v>367</v>
      </c>
      <c r="K1644" s="11">
        <v>0</v>
      </c>
      <c r="L1644" s="4"/>
      <c r="M1644" s="4"/>
      <c r="N1644" s="11">
        <v>0</v>
      </c>
      <c r="O1644" s="4"/>
      <c r="P1644" s="4"/>
      <c r="Q1644" s="11">
        <v>0</v>
      </c>
      <c r="R1644" s="4"/>
      <c r="S1644" s="12"/>
    </row>
    <row r="1645" spans="1:19" x14ac:dyDescent="0.25">
      <c r="A1645" s="9" t="s">
        <v>485</v>
      </c>
      <c r="B1645" s="9" t="s">
        <v>485</v>
      </c>
      <c r="C1645" s="4">
        <v>201002679</v>
      </c>
      <c r="D1645" s="4" t="s">
        <v>2073</v>
      </c>
      <c r="E1645" s="4" t="str">
        <f>"053642010"</f>
        <v>053642010</v>
      </c>
      <c r="F1645" s="10">
        <v>40270</v>
      </c>
      <c r="G1645" s="11">
        <v>11000</v>
      </c>
      <c r="H1645" s="11">
        <v>11000</v>
      </c>
      <c r="I1645" s="4" t="s">
        <v>366</v>
      </c>
      <c r="J1645" s="4" t="s">
        <v>367</v>
      </c>
      <c r="K1645" s="11">
        <v>0</v>
      </c>
      <c r="L1645" s="4"/>
      <c r="M1645" s="4"/>
      <c r="N1645" s="11">
        <v>0</v>
      </c>
      <c r="O1645" s="4"/>
      <c r="P1645" s="4"/>
      <c r="Q1645" s="11">
        <v>0</v>
      </c>
      <c r="R1645" s="4"/>
      <c r="S1645" s="12"/>
    </row>
    <row r="1646" spans="1:19" x14ac:dyDescent="0.25">
      <c r="A1646" s="9" t="s">
        <v>485</v>
      </c>
      <c r="B1646" s="9" t="s">
        <v>485</v>
      </c>
      <c r="C1646" s="4">
        <v>201002682</v>
      </c>
      <c r="D1646" s="4"/>
      <c r="E1646" s="4" t="str">
        <f>"053062010"</f>
        <v>053062010</v>
      </c>
      <c r="F1646" s="10">
        <v>40274</v>
      </c>
      <c r="G1646" s="11">
        <v>6240</v>
      </c>
      <c r="H1646" s="11">
        <v>6240</v>
      </c>
      <c r="I1646" s="4" t="s">
        <v>366</v>
      </c>
      <c r="J1646" s="4" t="s">
        <v>367</v>
      </c>
      <c r="K1646" s="11">
        <v>0</v>
      </c>
      <c r="L1646" s="4"/>
      <c r="M1646" s="4"/>
      <c r="N1646" s="11">
        <v>0</v>
      </c>
      <c r="O1646" s="4"/>
      <c r="P1646" s="4"/>
      <c r="Q1646" s="11">
        <v>0</v>
      </c>
      <c r="R1646" s="4"/>
      <c r="S1646" s="12"/>
    </row>
    <row r="1647" spans="1:19" x14ac:dyDescent="0.25">
      <c r="A1647" s="9" t="s">
        <v>485</v>
      </c>
      <c r="B1647" s="9" t="s">
        <v>485</v>
      </c>
      <c r="C1647" s="4">
        <v>201002690</v>
      </c>
      <c r="D1647" s="4"/>
      <c r="E1647" s="4" t="str">
        <f>"055432010"</f>
        <v>055432010</v>
      </c>
      <c r="F1647" s="10">
        <v>40275</v>
      </c>
      <c r="G1647" s="11">
        <v>25940.57</v>
      </c>
      <c r="H1647" s="11">
        <v>25940.57</v>
      </c>
      <c r="I1647" s="4" t="s">
        <v>366</v>
      </c>
      <c r="J1647" s="4" t="s">
        <v>367</v>
      </c>
      <c r="K1647" s="11">
        <v>0</v>
      </c>
      <c r="L1647" s="4"/>
      <c r="M1647" s="4"/>
      <c r="N1647" s="11">
        <v>0</v>
      </c>
      <c r="O1647" s="4"/>
      <c r="P1647" s="4"/>
      <c r="Q1647" s="11">
        <v>0</v>
      </c>
      <c r="R1647" s="4"/>
      <c r="S1647" s="12"/>
    </row>
    <row r="1648" spans="1:19" x14ac:dyDescent="0.25">
      <c r="A1648" s="9" t="s">
        <v>485</v>
      </c>
      <c r="B1648" s="9" t="s">
        <v>485</v>
      </c>
      <c r="C1648" s="4">
        <v>201002708</v>
      </c>
      <c r="D1648" s="4" t="s">
        <v>2074</v>
      </c>
      <c r="E1648" s="4" t="str">
        <f>"057202010"</f>
        <v>057202010</v>
      </c>
      <c r="F1648" s="10">
        <v>40281</v>
      </c>
      <c r="G1648" s="11">
        <v>90000</v>
      </c>
      <c r="H1648" s="11">
        <v>90000</v>
      </c>
      <c r="I1648" s="4" t="s">
        <v>366</v>
      </c>
      <c r="J1648" s="4" t="s">
        <v>367</v>
      </c>
      <c r="K1648" s="11">
        <v>0</v>
      </c>
      <c r="L1648" s="4"/>
      <c r="M1648" s="4"/>
      <c r="N1648" s="11">
        <v>0</v>
      </c>
      <c r="O1648" s="4"/>
      <c r="P1648" s="4"/>
      <c r="Q1648" s="11">
        <v>0</v>
      </c>
      <c r="R1648" s="4"/>
      <c r="S1648" s="12"/>
    </row>
    <row r="1649" spans="1:19" x14ac:dyDescent="0.25">
      <c r="A1649" s="9" t="s">
        <v>485</v>
      </c>
      <c r="B1649" s="9" t="s">
        <v>485</v>
      </c>
      <c r="C1649" s="4">
        <v>201002709</v>
      </c>
      <c r="D1649" s="4" t="s">
        <v>2074</v>
      </c>
      <c r="E1649" s="4" t="str">
        <f>"057182010"</f>
        <v>057182010</v>
      </c>
      <c r="F1649" s="10">
        <v>40281</v>
      </c>
      <c r="G1649" s="11">
        <v>15000</v>
      </c>
      <c r="H1649" s="11">
        <v>15000</v>
      </c>
      <c r="I1649" s="4" t="s">
        <v>366</v>
      </c>
      <c r="J1649" s="4" t="s">
        <v>367</v>
      </c>
      <c r="K1649" s="11">
        <v>0</v>
      </c>
      <c r="L1649" s="4"/>
      <c r="M1649" s="4"/>
      <c r="N1649" s="11">
        <v>0</v>
      </c>
      <c r="O1649" s="4"/>
      <c r="P1649" s="4"/>
      <c r="Q1649" s="11">
        <v>0</v>
      </c>
      <c r="R1649" s="4"/>
      <c r="S1649" s="12"/>
    </row>
    <row r="1650" spans="1:19" x14ac:dyDescent="0.25">
      <c r="A1650" s="9" t="s">
        <v>485</v>
      </c>
      <c r="B1650" s="9" t="s">
        <v>485</v>
      </c>
      <c r="C1650" s="4">
        <v>201002717</v>
      </c>
      <c r="D1650" s="4"/>
      <c r="E1650" s="4" t="str">
        <f>"055652010"</f>
        <v>055652010</v>
      </c>
      <c r="F1650" s="10">
        <v>40275</v>
      </c>
      <c r="G1650" s="11">
        <v>15000</v>
      </c>
      <c r="H1650" s="11">
        <v>15000</v>
      </c>
      <c r="I1650" s="4" t="s">
        <v>687</v>
      </c>
      <c r="J1650" s="4" t="s">
        <v>688</v>
      </c>
      <c r="K1650" s="11">
        <v>0</v>
      </c>
      <c r="L1650" s="4"/>
      <c r="M1650" s="4"/>
      <c r="N1650" s="11">
        <v>0</v>
      </c>
      <c r="O1650" s="4"/>
      <c r="P1650" s="4"/>
      <c r="Q1650" s="11">
        <v>0</v>
      </c>
      <c r="R1650" s="4"/>
      <c r="S1650" s="12"/>
    </row>
    <row r="1651" spans="1:19" x14ac:dyDescent="0.25">
      <c r="A1651" s="9" t="s">
        <v>485</v>
      </c>
      <c r="B1651" s="9" t="s">
        <v>485</v>
      </c>
      <c r="C1651" s="4">
        <v>201002719</v>
      </c>
      <c r="D1651" s="4" t="s">
        <v>2075</v>
      </c>
      <c r="E1651" s="4" t="str">
        <f>"053742010"</f>
        <v>053742010</v>
      </c>
      <c r="F1651" s="10">
        <v>40270</v>
      </c>
      <c r="G1651" s="11">
        <v>100000</v>
      </c>
      <c r="H1651" s="11">
        <v>100000</v>
      </c>
      <c r="I1651" s="4" t="s">
        <v>687</v>
      </c>
      <c r="J1651" s="4" t="s">
        <v>688</v>
      </c>
      <c r="K1651" s="11">
        <v>0</v>
      </c>
      <c r="L1651" s="4"/>
      <c r="M1651" s="4"/>
      <c r="N1651" s="11">
        <v>0</v>
      </c>
      <c r="O1651" s="4"/>
      <c r="P1651" s="4"/>
      <c r="Q1651" s="11">
        <v>0</v>
      </c>
      <c r="R1651" s="4"/>
      <c r="S1651" s="12"/>
    </row>
    <row r="1652" spans="1:19" x14ac:dyDescent="0.25">
      <c r="A1652" s="9" t="s">
        <v>485</v>
      </c>
      <c r="B1652" s="9" t="s">
        <v>485</v>
      </c>
      <c r="C1652" s="4">
        <v>201002734</v>
      </c>
      <c r="D1652" s="4"/>
      <c r="E1652" s="4" t="str">
        <f>"053842010"</f>
        <v>053842010</v>
      </c>
      <c r="F1652" s="10">
        <v>40270</v>
      </c>
      <c r="G1652" s="11">
        <v>6704.55</v>
      </c>
      <c r="H1652" s="11">
        <v>6704.55</v>
      </c>
      <c r="I1652" s="4" t="s">
        <v>54</v>
      </c>
      <c r="J1652" s="4" t="s">
        <v>55</v>
      </c>
      <c r="K1652" s="11">
        <v>0</v>
      </c>
      <c r="L1652" s="4"/>
      <c r="M1652" s="4"/>
      <c r="N1652" s="11">
        <v>0</v>
      </c>
      <c r="O1652" s="4"/>
      <c r="P1652" s="4"/>
      <c r="Q1652" s="11">
        <v>0</v>
      </c>
      <c r="R1652" s="4"/>
      <c r="S1652" s="12"/>
    </row>
    <row r="1653" spans="1:19" x14ac:dyDescent="0.25">
      <c r="A1653" s="9" t="s">
        <v>485</v>
      </c>
      <c r="B1653" s="9" t="s">
        <v>485</v>
      </c>
      <c r="C1653" s="4">
        <v>201002744</v>
      </c>
      <c r="D1653" s="4"/>
      <c r="E1653" s="4" t="str">
        <f>"054182010"</f>
        <v>054182010</v>
      </c>
      <c r="F1653" s="10">
        <v>40270</v>
      </c>
      <c r="G1653" s="11">
        <v>2599.48</v>
      </c>
      <c r="H1653" s="11">
        <v>2599.48</v>
      </c>
      <c r="I1653" s="4" t="s">
        <v>366</v>
      </c>
      <c r="J1653" s="4" t="s">
        <v>367</v>
      </c>
      <c r="K1653" s="11">
        <v>0</v>
      </c>
      <c r="L1653" s="4"/>
      <c r="M1653" s="4"/>
      <c r="N1653" s="11">
        <v>0</v>
      </c>
      <c r="O1653" s="4"/>
      <c r="P1653" s="4"/>
      <c r="Q1653" s="11">
        <v>0</v>
      </c>
      <c r="R1653" s="4"/>
      <c r="S1653" s="12"/>
    </row>
    <row r="1654" spans="1:19" x14ac:dyDescent="0.25">
      <c r="A1654" s="9" t="s">
        <v>485</v>
      </c>
      <c r="B1654" s="9" t="s">
        <v>485</v>
      </c>
      <c r="C1654" s="4">
        <v>201002751</v>
      </c>
      <c r="D1654" s="4"/>
      <c r="E1654" s="4" t="str">
        <f>"054102010"</f>
        <v>054102010</v>
      </c>
      <c r="F1654" s="10">
        <v>40270</v>
      </c>
      <c r="G1654" s="11">
        <v>10479.219999999999</v>
      </c>
      <c r="H1654" s="11">
        <v>10479.219999999999</v>
      </c>
      <c r="I1654" s="4" t="s">
        <v>366</v>
      </c>
      <c r="J1654" s="4" t="s">
        <v>367</v>
      </c>
      <c r="K1654" s="11">
        <v>0</v>
      </c>
      <c r="L1654" s="4"/>
      <c r="M1654" s="4"/>
      <c r="N1654" s="11">
        <v>0</v>
      </c>
      <c r="O1654" s="4"/>
      <c r="P1654" s="4"/>
      <c r="Q1654" s="11">
        <v>0</v>
      </c>
      <c r="R1654" s="4"/>
      <c r="S1654" s="12"/>
    </row>
    <row r="1655" spans="1:19" x14ac:dyDescent="0.25">
      <c r="A1655" s="9" t="s">
        <v>485</v>
      </c>
      <c r="B1655" s="9" t="s">
        <v>485</v>
      </c>
      <c r="C1655" s="4">
        <v>201002752</v>
      </c>
      <c r="D1655" s="4"/>
      <c r="E1655" s="4" t="str">
        <f>"054062010"</f>
        <v>054062010</v>
      </c>
      <c r="F1655" s="10">
        <v>40270</v>
      </c>
      <c r="G1655" s="11">
        <v>5517.5</v>
      </c>
      <c r="H1655" s="11">
        <v>5517.5</v>
      </c>
      <c r="I1655" s="4" t="s">
        <v>366</v>
      </c>
      <c r="J1655" s="4" t="s">
        <v>367</v>
      </c>
      <c r="K1655" s="11">
        <v>0</v>
      </c>
      <c r="L1655" s="4"/>
      <c r="M1655" s="4"/>
      <c r="N1655" s="11">
        <v>0</v>
      </c>
      <c r="O1655" s="4"/>
      <c r="P1655" s="4"/>
      <c r="Q1655" s="11">
        <v>0</v>
      </c>
      <c r="R1655" s="4"/>
      <c r="S1655" s="12"/>
    </row>
    <row r="1656" spans="1:19" x14ac:dyDescent="0.25">
      <c r="A1656" s="9" t="s">
        <v>485</v>
      </c>
      <c r="B1656" s="9" t="s">
        <v>485</v>
      </c>
      <c r="C1656" s="4">
        <v>201002763</v>
      </c>
      <c r="D1656" s="4"/>
      <c r="E1656" s="4" t="str">
        <f>"054762010"</f>
        <v>054762010</v>
      </c>
      <c r="F1656" s="10">
        <v>40281</v>
      </c>
      <c r="G1656" s="11">
        <v>2826.52</v>
      </c>
      <c r="H1656" s="11">
        <v>2826.52</v>
      </c>
      <c r="I1656" s="4" t="s">
        <v>366</v>
      </c>
      <c r="J1656" s="4" t="s">
        <v>367</v>
      </c>
      <c r="K1656" s="11">
        <v>0</v>
      </c>
      <c r="L1656" s="4"/>
      <c r="M1656" s="4"/>
      <c r="N1656" s="11">
        <v>0</v>
      </c>
      <c r="O1656" s="4"/>
      <c r="P1656" s="4"/>
      <c r="Q1656" s="11">
        <v>0</v>
      </c>
      <c r="R1656" s="4"/>
      <c r="S1656" s="12"/>
    </row>
    <row r="1657" spans="1:19" x14ac:dyDescent="0.25">
      <c r="A1657" s="9" t="s">
        <v>485</v>
      </c>
      <c r="B1657" s="9" t="s">
        <v>485</v>
      </c>
      <c r="C1657" s="4">
        <v>201002795</v>
      </c>
      <c r="D1657" s="4"/>
      <c r="E1657" s="4" t="str">
        <f>"059892010"</f>
        <v>059892010</v>
      </c>
      <c r="F1657" s="10">
        <v>40288</v>
      </c>
      <c r="G1657" s="11">
        <v>14321.05</v>
      </c>
      <c r="H1657" s="11">
        <v>14321.05</v>
      </c>
      <c r="I1657" s="4" t="s">
        <v>366</v>
      </c>
      <c r="J1657" s="4" t="s">
        <v>367</v>
      </c>
      <c r="K1657" s="11">
        <v>0</v>
      </c>
      <c r="L1657" s="4"/>
      <c r="M1657" s="4"/>
      <c r="N1657" s="11">
        <v>0</v>
      </c>
      <c r="O1657" s="4"/>
      <c r="P1657" s="4"/>
      <c r="Q1657" s="11">
        <v>0</v>
      </c>
      <c r="R1657" s="4"/>
      <c r="S1657" s="12"/>
    </row>
    <row r="1658" spans="1:19" x14ac:dyDescent="0.25">
      <c r="A1658" s="9" t="s">
        <v>485</v>
      </c>
      <c r="B1658" s="9" t="s">
        <v>485</v>
      </c>
      <c r="C1658" s="4">
        <v>201002796</v>
      </c>
      <c r="D1658" s="4"/>
      <c r="E1658" s="4" t="str">
        <f>"054722010"</f>
        <v>054722010</v>
      </c>
      <c r="F1658" s="10">
        <v>40281</v>
      </c>
      <c r="G1658" s="11">
        <v>19080.830000000002</v>
      </c>
      <c r="H1658" s="11">
        <v>19080.830000000002</v>
      </c>
      <c r="I1658" s="4" t="s">
        <v>366</v>
      </c>
      <c r="J1658" s="4" t="s">
        <v>367</v>
      </c>
      <c r="K1658" s="11">
        <v>0</v>
      </c>
      <c r="L1658" s="4"/>
      <c r="M1658" s="4"/>
      <c r="N1658" s="11">
        <v>0</v>
      </c>
      <c r="O1658" s="4"/>
      <c r="P1658" s="4"/>
      <c r="Q1658" s="11">
        <v>0</v>
      </c>
      <c r="R1658" s="4"/>
      <c r="S1658" s="12"/>
    </row>
    <row r="1659" spans="1:19" x14ac:dyDescent="0.25">
      <c r="A1659" s="9" t="s">
        <v>485</v>
      </c>
      <c r="B1659" s="9" t="s">
        <v>485</v>
      </c>
      <c r="C1659" s="4">
        <v>201002808</v>
      </c>
      <c r="D1659" s="4"/>
      <c r="E1659" s="4" t="str">
        <f>"055012010"</f>
        <v>055012010</v>
      </c>
      <c r="F1659" s="10">
        <v>40281</v>
      </c>
      <c r="G1659" s="11">
        <v>3612.1</v>
      </c>
      <c r="H1659" s="11">
        <v>3612.1</v>
      </c>
      <c r="I1659" s="4" t="s">
        <v>54</v>
      </c>
      <c r="J1659" s="4" t="s">
        <v>55</v>
      </c>
      <c r="K1659" s="11">
        <v>0</v>
      </c>
      <c r="L1659" s="4"/>
      <c r="M1659" s="4"/>
      <c r="N1659" s="11">
        <v>0</v>
      </c>
      <c r="O1659" s="4"/>
      <c r="P1659" s="4"/>
      <c r="Q1659" s="11">
        <v>0</v>
      </c>
      <c r="R1659" s="4"/>
      <c r="S1659" s="12"/>
    </row>
    <row r="1660" spans="1:19" x14ac:dyDescent="0.25">
      <c r="A1660" s="9" t="s">
        <v>485</v>
      </c>
      <c r="B1660" s="9" t="s">
        <v>485</v>
      </c>
      <c r="C1660" s="4">
        <v>201002831</v>
      </c>
      <c r="D1660" s="4"/>
      <c r="E1660" s="4" t="str">
        <f>"058032010"</f>
        <v>058032010</v>
      </c>
      <c r="F1660" s="10">
        <v>40284</v>
      </c>
      <c r="G1660" s="11">
        <v>2606.38</v>
      </c>
      <c r="H1660" s="11">
        <v>2606.38</v>
      </c>
      <c r="I1660" s="4" t="s">
        <v>366</v>
      </c>
      <c r="J1660" s="4" t="s">
        <v>367</v>
      </c>
      <c r="K1660" s="11">
        <v>0</v>
      </c>
      <c r="L1660" s="4"/>
      <c r="M1660" s="4"/>
      <c r="N1660" s="11">
        <v>0</v>
      </c>
      <c r="O1660" s="4"/>
      <c r="P1660" s="4"/>
      <c r="Q1660" s="11">
        <v>0</v>
      </c>
      <c r="R1660" s="4"/>
      <c r="S1660" s="12"/>
    </row>
    <row r="1661" spans="1:19" x14ac:dyDescent="0.25">
      <c r="A1661" s="9" t="s">
        <v>485</v>
      </c>
      <c r="B1661" s="9" t="s">
        <v>485</v>
      </c>
      <c r="C1661" s="4">
        <v>201002859</v>
      </c>
      <c r="D1661" s="4" t="s">
        <v>2076</v>
      </c>
      <c r="E1661" s="4" t="str">
        <f>"060922010"</f>
        <v>060922010</v>
      </c>
      <c r="F1661" s="10">
        <v>40291</v>
      </c>
      <c r="G1661" s="11">
        <v>800000</v>
      </c>
      <c r="H1661" s="11">
        <v>800000</v>
      </c>
      <c r="I1661" s="4" t="s">
        <v>1937</v>
      </c>
      <c r="J1661" s="4" t="s">
        <v>1938</v>
      </c>
      <c r="K1661" s="11">
        <v>0</v>
      </c>
      <c r="L1661" s="4"/>
      <c r="M1661" s="4"/>
      <c r="N1661" s="11">
        <v>0</v>
      </c>
      <c r="O1661" s="4"/>
      <c r="P1661" s="4"/>
      <c r="Q1661" s="11">
        <v>0</v>
      </c>
      <c r="R1661" s="4"/>
      <c r="S1661" s="12"/>
    </row>
    <row r="1662" spans="1:19" x14ac:dyDescent="0.25">
      <c r="A1662" s="9" t="s">
        <v>485</v>
      </c>
      <c r="B1662" s="9" t="s">
        <v>485</v>
      </c>
      <c r="C1662" s="4">
        <v>201002870</v>
      </c>
      <c r="D1662" s="4" t="s">
        <v>2077</v>
      </c>
      <c r="E1662" s="4" t="str">
        <f>"060862010"</f>
        <v>060862010</v>
      </c>
      <c r="F1662" s="10">
        <v>40290</v>
      </c>
      <c r="G1662" s="11">
        <v>5710.61</v>
      </c>
      <c r="H1662" s="11">
        <v>5710.61</v>
      </c>
      <c r="I1662" s="4" t="s">
        <v>366</v>
      </c>
      <c r="J1662" s="4" t="s">
        <v>367</v>
      </c>
      <c r="K1662" s="11">
        <v>0</v>
      </c>
      <c r="L1662" s="4"/>
      <c r="M1662" s="4"/>
      <c r="N1662" s="11">
        <v>0</v>
      </c>
      <c r="O1662" s="4"/>
      <c r="P1662" s="4"/>
      <c r="Q1662" s="11">
        <v>0</v>
      </c>
      <c r="R1662" s="4"/>
      <c r="S1662" s="12"/>
    </row>
    <row r="1663" spans="1:19" x14ac:dyDescent="0.25">
      <c r="A1663" s="9" t="s">
        <v>485</v>
      </c>
      <c r="B1663" s="9" t="s">
        <v>485</v>
      </c>
      <c r="C1663" s="4">
        <v>201002905</v>
      </c>
      <c r="D1663" s="4" t="s">
        <v>2078</v>
      </c>
      <c r="E1663" s="4" t="str">
        <f>"057562010"</f>
        <v>057562010</v>
      </c>
      <c r="F1663" s="10">
        <v>40295</v>
      </c>
      <c r="G1663" s="11">
        <v>7500</v>
      </c>
      <c r="H1663" s="11">
        <v>7500</v>
      </c>
      <c r="I1663" s="4" t="s">
        <v>54</v>
      </c>
      <c r="J1663" s="4" t="s">
        <v>55</v>
      </c>
      <c r="K1663" s="11">
        <v>0</v>
      </c>
      <c r="L1663" s="4"/>
      <c r="M1663" s="4"/>
      <c r="N1663" s="11">
        <v>0</v>
      </c>
      <c r="O1663" s="4"/>
      <c r="P1663" s="4"/>
      <c r="Q1663" s="11">
        <v>0</v>
      </c>
      <c r="R1663" s="4"/>
      <c r="S1663" s="12"/>
    </row>
    <row r="1664" spans="1:19" x14ac:dyDescent="0.25">
      <c r="A1664" s="9" t="s">
        <v>485</v>
      </c>
      <c r="B1664" s="9" t="s">
        <v>485</v>
      </c>
      <c r="C1664" s="4">
        <v>201002913</v>
      </c>
      <c r="D1664" s="4" t="s">
        <v>2079</v>
      </c>
      <c r="E1664" s="4" t="str">
        <f>"057912010"</f>
        <v>057912010</v>
      </c>
      <c r="F1664" s="10">
        <v>40283</v>
      </c>
      <c r="G1664" s="11">
        <v>13200</v>
      </c>
      <c r="H1664" s="11">
        <v>13200</v>
      </c>
      <c r="I1664" s="4" t="s">
        <v>366</v>
      </c>
      <c r="J1664" s="4" t="s">
        <v>367</v>
      </c>
      <c r="K1664" s="11">
        <v>0</v>
      </c>
      <c r="L1664" s="4"/>
      <c r="M1664" s="4"/>
      <c r="N1664" s="11">
        <v>0</v>
      </c>
      <c r="O1664" s="4"/>
      <c r="P1664" s="4"/>
      <c r="Q1664" s="11">
        <v>0</v>
      </c>
      <c r="R1664" s="4"/>
      <c r="S1664" s="12"/>
    </row>
    <row r="1665" spans="1:19" x14ac:dyDescent="0.25">
      <c r="A1665" s="9" t="s">
        <v>485</v>
      </c>
      <c r="B1665" s="9" t="s">
        <v>485</v>
      </c>
      <c r="C1665" s="4">
        <v>201002916</v>
      </c>
      <c r="D1665" s="4"/>
      <c r="E1665" s="4" t="str">
        <f>"057602010"</f>
        <v>057602010</v>
      </c>
      <c r="F1665" s="10">
        <v>40295</v>
      </c>
      <c r="G1665" s="11">
        <v>10000</v>
      </c>
      <c r="H1665" s="11">
        <v>10000</v>
      </c>
      <c r="I1665" s="4" t="s">
        <v>931</v>
      </c>
      <c r="J1665" s="4" t="s">
        <v>932</v>
      </c>
      <c r="K1665" s="11">
        <v>0</v>
      </c>
      <c r="L1665" s="4"/>
      <c r="M1665" s="4"/>
      <c r="N1665" s="11">
        <v>0</v>
      </c>
      <c r="O1665" s="4"/>
      <c r="P1665" s="4"/>
      <c r="Q1665" s="11">
        <v>0</v>
      </c>
      <c r="R1665" s="4"/>
      <c r="S1665" s="12"/>
    </row>
    <row r="1666" spans="1:19" x14ac:dyDescent="0.25">
      <c r="A1666" s="9" t="s">
        <v>485</v>
      </c>
      <c r="B1666" s="9" t="s">
        <v>485</v>
      </c>
      <c r="C1666" s="4">
        <v>201002917</v>
      </c>
      <c r="D1666" s="4"/>
      <c r="E1666" s="4" t="str">
        <f>"059772010"</f>
        <v>059772010</v>
      </c>
      <c r="F1666" s="10">
        <v>40288</v>
      </c>
      <c r="G1666" s="11">
        <v>2866</v>
      </c>
      <c r="H1666" s="11">
        <v>2866</v>
      </c>
      <c r="I1666" s="4" t="s">
        <v>366</v>
      </c>
      <c r="J1666" s="4" t="s">
        <v>367</v>
      </c>
      <c r="K1666" s="11">
        <v>0</v>
      </c>
      <c r="L1666" s="4"/>
      <c r="M1666" s="4"/>
      <c r="N1666" s="11">
        <v>0</v>
      </c>
      <c r="O1666" s="4"/>
      <c r="P1666" s="4"/>
      <c r="Q1666" s="11">
        <v>0</v>
      </c>
      <c r="R1666" s="4"/>
      <c r="S1666" s="12"/>
    </row>
    <row r="1667" spans="1:19" x14ac:dyDescent="0.25">
      <c r="A1667" s="9" t="s">
        <v>485</v>
      </c>
      <c r="B1667" s="9" t="s">
        <v>485</v>
      </c>
      <c r="C1667" s="4">
        <v>201002949</v>
      </c>
      <c r="D1667" s="4" t="s">
        <v>2065</v>
      </c>
      <c r="E1667" s="4" t="str">
        <f>"058312010"</f>
        <v>058312010</v>
      </c>
      <c r="F1667" s="10">
        <v>40284</v>
      </c>
      <c r="G1667" s="11">
        <v>285000</v>
      </c>
      <c r="H1667" s="11">
        <v>285000</v>
      </c>
      <c r="I1667" s="4" t="s">
        <v>687</v>
      </c>
      <c r="J1667" s="4" t="s">
        <v>688</v>
      </c>
      <c r="K1667" s="11">
        <v>0</v>
      </c>
      <c r="L1667" s="4"/>
      <c r="M1667" s="4"/>
      <c r="N1667" s="11">
        <v>0</v>
      </c>
      <c r="O1667" s="4"/>
      <c r="P1667" s="4"/>
      <c r="Q1667" s="11">
        <v>0</v>
      </c>
      <c r="R1667" s="4"/>
      <c r="S1667" s="12"/>
    </row>
    <row r="1668" spans="1:19" x14ac:dyDescent="0.25">
      <c r="A1668" s="9" t="s">
        <v>485</v>
      </c>
      <c r="B1668" s="9" t="s">
        <v>485</v>
      </c>
      <c r="C1668" s="4">
        <v>201002961</v>
      </c>
      <c r="D1668" s="4"/>
      <c r="E1668" s="4" t="str">
        <f>"058352010"</f>
        <v>058352010</v>
      </c>
      <c r="F1668" s="10">
        <v>40284</v>
      </c>
      <c r="G1668" s="11">
        <v>10750</v>
      </c>
      <c r="H1668" s="11">
        <v>10750</v>
      </c>
      <c r="I1668" s="4" t="s">
        <v>54</v>
      </c>
      <c r="J1668" s="4" t="s">
        <v>55</v>
      </c>
      <c r="K1668" s="11">
        <v>0</v>
      </c>
      <c r="L1668" s="4"/>
      <c r="M1668" s="4"/>
      <c r="N1668" s="11">
        <v>0</v>
      </c>
      <c r="O1668" s="4"/>
      <c r="P1668" s="4"/>
      <c r="Q1668" s="11">
        <v>0</v>
      </c>
      <c r="R1668" s="4"/>
      <c r="S1668" s="12"/>
    </row>
    <row r="1669" spans="1:19" x14ac:dyDescent="0.25">
      <c r="A1669" s="9" t="s">
        <v>485</v>
      </c>
      <c r="B1669" s="9" t="s">
        <v>485</v>
      </c>
      <c r="C1669" s="4">
        <v>201002980</v>
      </c>
      <c r="D1669" s="4"/>
      <c r="E1669" s="4" t="str">
        <f>"067782010"</f>
        <v>067782010</v>
      </c>
      <c r="F1669" s="10">
        <v>40310</v>
      </c>
      <c r="G1669" s="11">
        <v>2879.61</v>
      </c>
      <c r="H1669" s="11">
        <v>2879.61</v>
      </c>
      <c r="I1669" s="4" t="s">
        <v>366</v>
      </c>
      <c r="J1669" s="4" t="s">
        <v>367</v>
      </c>
      <c r="K1669" s="11">
        <v>0</v>
      </c>
      <c r="L1669" s="4"/>
      <c r="M1669" s="4"/>
      <c r="N1669" s="11">
        <v>0</v>
      </c>
      <c r="O1669" s="4"/>
      <c r="P1669" s="4"/>
      <c r="Q1669" s="11">
        <v>0</v>
      </c>
      <c r="R1669" s="4"/>
      <c r="S1669" s="12"/>
    </row>
    <row r="1670" spans="1:19" x14ac:dyDescent="0.25">
      <c r="A1670" s="9" t="s">
        <v>485</v>
      </c>
      <c r="B1670" s="9" t="s">
        <v>485</v>
      </c>
      <c r="C1670" s="4">
        <v>201003004</v>
      </c>
      <c r="D1670" s="4" t="s">
        <v>2080</v>
      </c>
      <c r="E1670" s="4" t="str">
        <f>"059492010"</f>
        <v>059492010</v>
      </c>
      <c r="F1670" s="10">
        <v>40287</v>
      </c>
      <c r="G1670" s="11">
        <v>25000</v>
      </c>
      <c r="H1670" s="11">
        <v>25000</v>
      </c>
      <c r="I1670" s="4" t="s">
        <v>366</v>
      </c>
      <c r="J1670" s="4" t="s">
        <v>367</v>
      </c>
      <c r="K1670" s="11">
        <v>0</v>
      </c>
      <c r="L1670" s="4"/>
      <c r="M1670" s="4"/>
      <c r="N1670" s="11">
        <v>0</v>
      </c>
      <c r="O1670" s="4"/>
      <c r="P1670" s="4"/>
      <c r="Q1670" s="11">
        <v>0</v>
      </c>
      <c r="R1670" s="4"/>
      <c r="S1670" s="12"/>
    </row>
    <row r="1671" spans="1:19" x14ac:dyDescent="0.25">
      <c r="A1671" s="9" t="s">
        <v>485</v>
      </c>
      <c r="B1671" s="9" t="s">
        <v>485</v>
      </c>
      <c r="C1671" s="4">
        <v>201003016</v>
      </c>
      <c r="D1671" s="4"/>
      <c r="E1671" s="4" t="str">
        <f>"059392010"</f>
        <v>059392010</v>
      </c>
      <c r="F1671" s="10">
        <v>40287</v>
      </c>
      <c r="G1671" s="11">
        <v>2792.6</v>
      </c>
      <c r="H1671" s="11">
        <v>2792.6</v>
      </c>
      <c r="I1671" s="4" t="s">
        <v>366</v>
      </c>
      <c r="J1671" s="4" t="s">
        <v>367</v>
      </c>
      <c r="K1671" s="11">
        <v>0</v>
      </c>
      <c r="L1671" s="4"/>
      <c r="M1671" s="4"/>
      <c r="N1671" s="11">
        <v>0</v>
      </c>
      <c r="O1671" s="4"/>
      <c r="P1671" s="4"/>
      <c r="Q1671" s="11">
        <v>0</v>
      </c>
      <c r="R1671" s="4"/>
      <c r="S1671" s="12"/>
    </row>
    <row r="1672" spans="1:19" x14ac:dyDescent="0.25">
      <c r="A1672" s="9" t="s">
        <v>485</v>
      </c>
      <c r="B1672" s="9" t="s">
        <v>485</v>
      </c>
      <c r="C1672" s="4">
        <v>201003022</v>
      </c>
      <c r="D1672" s="4"/>
      <c r="E1672" s="4" t="str">
        <f>"060062010"</f>
        <v>060062010</v>
      </c>
      <c r="F1672" s="10">
        <v>40290</v>
      </c>
      <c r="G1672" s="11">
        <v>3538.64</v>
      </c>
      <c r="H1672" s="11">
        <v>3538.64</v>
      </c>
      <c r="I1672" s="4" t="s">
        <v>366</v>
      </c>
      <c r="J1672" s="4" t="s">
        <v>367</v>
      </c>
      <c r="K1672" s="11">
        <v>0</v>
      </c>
      <c r="L1672" s="4"/>
      <c r="M1672" s="4"/>
      <c r="N1672" s="11">
        <v>0</v>
      </c>
      <c r="O1672" s="4"/>
      <c r="P1672" s="4"/>
      <c r="Q1672" s="11">
        <v>0</v>
      </c>
      <c r="R1672" s="4"/>
      <c r="S1672" s="12"/>
    </row>
    <row r="1673" spans="1:19" x14ac:dyDescent="0.25">
      <c r="A1673" s="9" t="s">
        <v>485</v>
      </c>
      <c r="B1673" s="9" t="s">
        <v>485</v>
      </c>
      <c r="C1673" s="4">
        <v>201003027</v>
      </c>
      <c r="D1673" s="4" t="s">
        <v>2081</v>
      </c>
      <c r="E1673" s="4" t="str">
        <f>"060622010"</f>
        <v>060622010</v>
      </c>
      <c r="F1673" s="10">
        <v>40289</v>
      </c>
      <c r="G1673" s="11">
        <v>140000</v>
      </c>
      <c r="H1673" s="11">
        <v>140000</v>
      </c>
      <c r="I1673" s="4" t="s">
        <v>687</v>
      </c>
      <c r="J1673" s="4" t="s">
        <v>688</v>
      </c>
      <c r="K1673" s="11">
        <v>0</v>
      </c>
      <c r="L1673" s="4"/>
      <c r="M1673" s="4"/>
      <c r="N1673" s="11">
        <v>0</v>
      </c>
      <c r="O1673" s="4"/>
      <c r="P1673" s="4"/>
      <c r="Q1673" s="11">
        <v>0</v>
      </c>
      <c r="R1673" s="4"/>
      <c r="S1673" s="12"/>
    </row>
    <row r="1674" spans="1:19" x14ac:dyDescent="0.25">
      <c r="A1674" s="9" t="s">
        <v>485</v>
      </c>
      <c r="B1674" s="9" t="s">
        <v>485</v>
      </c>
      <c r="C1674" s="4">
        <v>201003034</v>
      </c>
      <c r="D1674" s="4" t="s">
        <v>2082</v>
      </c>
      <c r="E1674" s="4" t="str">
        <f>"060642010"</f>
        <v>060642010</v>
      </c>
      <c r="F1674" s="10">
        <v>40296</v>
      </c>
      <c r="G1674" s="11">
        <v>298537</v>
      </c>
      <c r="H1674" s="11">
        <v>298537</v>
      </c>
      <c r="I1674" s="4" t="s">
        <v>366</v>
      </c>
      <c r="J1674" s="4" t="s">
        <v>367</v>
      </c>
      <c r="K1674" s="11">
        <v>0</v>
      </c>
      <c r="L1674" s="4"/>
      <c r="M1674" s="4"/>
      <c r="N1674" s="11">
        <v>0</v>
      </c>
      <c r="O1674" s="4"/>
      <c r="P1674" s="4"/>
      <c r="Q1674" s="11">
        <v>0</v>
      </c>
      <c r="R1674" s="4"/>
      <c r="S1674" s="12"/>
    </row>
    <row r="1675" spans="1:19" x14ac:dyDescent="0.25">
      <c r="A1675" s="9" t="s">
        <v>485</v>
      </c>
      <c r="B1675" s="9" t="s">
        <v>485</v>
      </c>
      <c r="C1675" s="4">
        <v>201003036</v>
      </c>
      <c r="D1675" s="4"/>
      <c r="E1675" s="4" t="str">
        <f>"060082010"</f>
        <v>060082010</v>
      </c>
      <c r="F1675" s="10">
        <v>40290</v>
      </c>
      <c r="G1675" s="11">
        <v>3967.74</v>
      </c>
      <c r="H1675" s="11">
        <v>3967.74</v>
      </c>
      <c r="I1675" s="4" t="s">
        <v>366</v>
      </c>
      <c r="J1675" s="4" t="s">
        <v>367</v>
      </c>
      <c r="K1675" s="11">
        <v>0</v>
      </c>
      <c r="L1675" s="4"/>
      <c r="M1675" s="4"/>
      <c r="N1675" s="11">
        <v>0</v>
      </c>
      <c r="O1675" s="4"/>
      <c r="P1675" s="4"/>
      <c r="Q1675" s="11">
        <v>0</v>
      </c>
      <c r="R1675" s="4"/>
      <c r="S1675" s="12"/>
    </row>
    <row r="1676" spans="1:19" x14ac:dyDescent="0.25">
      <c r="A1676" s="9" t="s">
        <v>485</v>
      </c>
      <c r="B1676" s="9" t="s">
        <v>485</v>
      </c>
      <c r="C1676" s="4">
        <v>201003053</v>
      </c>
      <c r="D1676" s="4" t="s">
        <v>2083</v>
      </c>
      <c r="E1676" s="4" t="str">
        <f>"061142010"</f>
        <v>061142010</v>
      </c>
      <c r="F1676" s="10">
        <v>40291</v>
      </c>
      <c r="G1676" s="11">
        <v>6500</v>
      </c>
      <c r="H1676" s="11">
        <v>6500</v>
      </c>
      <c r="I1676" s="4" t="s">
        <v>366</v>
      </c>
      <c r="J1676" s="4" t="s">
        <v>367</v>
      </c>
      <c r="K1676" s="11">
        <v>0</v>
      </c>
      <c r="L1676" s="4"/>
      <c r="M1676" s="4"/>
      <c r="N1676" s="11">
        <v>0</v>
      </c>
      <c r="O1676" s="4"/>
      <c r="P1676" s="4"/>
      <c r="Q1676" s="11">
        <v>0</v>
      </c>
      <c r="R1676" s="4"/>
      <c r="S1676" s="12"/>
    </row>
    <row r="1677" spans="1:19" x14ac:dyDescent="0.25">
      <c r="A1677" s="9" t="s">
        <v>485</v>
      </c>
      <c r="B1677" s="9" t="s">
        <v>485</v>
      </c>
      <c r="C1677" s="4">
        <v>201003066</v>
      </c>
      <c r="D1677" s="4"/>
      <c r="E1677" s="4" t="str">
        <f>"061942010"</f>
        <v>061942010</v>
      </c>
      <c r="F1677" s="10">
        <v>40296</v>
      </c>
      <c r="G1677" s="11">
        <v>2529.94</v>
      </c>
      <c r="H1677" s="11">
        <v>2529.94</v>
      </c>
      <c r="I1677" s="4" t="s">
        <v>1980</v>
      </c>
      <c r="J1677" s="4" t="s">
        <v>1981</v>
      </c>
      <c r="K1677" s="11">
        <v>0</v>
      </c>
      <c r="L1677" s="4"/>
      <c r="M1677" s="4"/>
      <c r="N1677" s="11">
        <v>0</v>
      </c>
      <c r="O1677" s="4"/>
      <c r="P1677" s="4"/>
      <c r="Q1677" s="11">
        <v>0</v>
      </c>
      <c r="R1677" s="4"/>
      <c r="S1677" s="12"/>
    </row>
    <row r="1678" spans="1:19" x14ac:dyDescent="0.25">
      <c r="A1678" s="9" t="s">
        <v>485</v>
      </c>
      <c r="B1678" s="9" t="s">
        <v>485</v>
      </c>
      <c r="C1678" s="4">
        <v>201003094</v>
      </c>
      <c r="D1678" s="4" t="s">
        <v>1984</v>
      </c>
      <c r="E1678" s="4" t="str">
        <f>"061882010"</f>
        <v>061882010</v>
      </c>
      <c r="F1678" s="10">
        <v>40295</v>
      </c>
      <c r="G1678" s="11">
        <v>425000</v>
      </c>
      <c r="H1678" s="11">
        <v>425000</v>
      </c>
      <c r="I1678" s="4" t="s">
        <v>687</v>
      </c>
      <c r="J1678" s="4" t="s">
        <v>688</v>
      </c>
      <c r="K1678" s="11">
        <v>0</v>
      </c>
      <c r="L1678" s="4"/>
      <c r="M1678" s="4"/>
      <c r="N1678" s="11">
        <v>0</v>
      </c>
      <c r="O1678" s="4"/>
      <c r="P1678" s="4"/>
      <c r="Q1678" s="11">
        <v>0</v>
      </c>
      <c r="R1678" s="4"/>
      <c r="S1678" s="12"/>
    </row>
    <row r="1679" spans="1:19" x14ac:dyDescent="0.25">
      <c r="A1679" s="9" t="s">
        <v>485</v>
      </c>
      <c r="B1679" s="9" t="s">
        <v>485</v>
      </c>
      <c r="C1679" s="4">
        <v>201003095</v>
      </c>
      <c r="D1679" s="4"/>
      <c r="E1679" s="4" t="str">
        <f>"064572010"</f>
        <v>064572010</v>
      </c>
      <c r="F1679" s="10">
        <v>40302</v>
      </c>
      <c r="G1679" s="11">
        <v>48500</v>
      </c>
      <c r="H1679" s="11">
        <v>48500</v>
      </c>
      <c r="I1679" s="4" t="s">
        <v>366</v>
      </c>
      <c r="J1679" s="4" t="s">
        <v>367</v>
      </c>
      <c r="K1679" s="11">
        <v>0</v>
      </c>
      <c r="L1679" s="4"/>
      <c r="M1679" s="4"/>
      <c r="N1679" s="11">
        <v>0</v>
      </c>
      <c r="O1679" s="4"/>
      <c r="P1679" s="4"/>
      <c r="Q1679" s="11">
        <v>0</v>
      </c>
      <c r="R1679" s="4"/>
      <c r="S1679" s="12"/>
    </row>
    <row r="1680" spans="1:19" x14ac:dyDescent="0.25">
      <c r="A1680" s="9" t="s">
        <v>485</v>
      </c>
      <c r="B1680" s="9" t="s">
        <v>485</v>
      </c>
      <c r="C1680" s="4">
        <v>201003096</v>
      </c>
      <c r="D1680" s="4"/>
      <c r="E1680" s="4" t="str">
        <f>"064042010"</f>
        <v>064042010</v>
      </c>
      <c r="F1680" s="10">
        <v>40302</v>
      </c>
      <c r="G1680" s="11">
        <v>30000</v>
      </c>
      <c r="H1680" s="11">
        <v>30000</v>
      </c>
      <c r="I1680" s="4" t="s">
        <v>366</v>
      </c>
      <c r="J1680" s="4" t="s">
        <v>367</v>
      </c>
      <c r="K1680" s="11">
        <v>0</v>
      </c>
      <c r="L1680" s="4"/>
      <c r="M1680" s="4"/>
      <c r="N1680" s="11">
        <v>0</v>
      </c>
      <c r="O1680" s="4"/>
      <c r="P1680" s="4"/>
      <c r="Q1680" s="11">
        <v>0</v>
      </c>
      <c r="R1680" s="4"/>
      <c r="S1680" s="12"/>
    </row>
    <row r="1681" spans="1:19" x14ac:dyDescent="0.25">
      <c r="A1681" s="9" t="s">
        <v>485</v>
      </c>
      <c r="B1681" s="9" t="s">
        <v>485</v>
      </c>
      <c r="C1681" s="4">
        <v>201003101</v>
      </c>
      <c r="D1681" s="4"/>
      <c r="E1681" s="4" t="str">
        <f>"061502010"</f>
        <v>061502010</v>
      </c>
      <c r="F1681" s="10">
        <v>40291</v>
      </c>
      <c r="G1681" s="11">
        <v>4000</v>
      </c>
      <c r="H1681" s="11">
        <v>4000</v>
      </c>
      <c r="I1681" s="4" t="s">
        <v>366</v>
      </c>
      <c r="J1681" s="4" t="s">
        <v>367</v>
      </c>
      <c r="K1681" s="11">
        <v>0</v>
      </c>
      <c r="L1681" s="4"/>
      <c r="M1681" s="4"/>
      <c r="N1681" s="11">
        <v>0</v>
      </c>
      <c r="O1681" s="4"/>
      <c r="P1681" s="4"/>
      <c r="Q1681" s="11">
        <v>0</v>
      </c>
      <c r="R1681" s="4"/>
      <c r="S1681" s="12"/>
    </row>
    <row r="1682" spans="1:19" x14ac:dyDescent="0.25">
      <c r="A1682" s="9" t="s">
        <v>485</v>
      </c>
      <c r="B1682" s="9" t="s">
        <v>485</v>
      </c>
      <c r="C1682" s="4">
        <v>201003105</v>
      </c>
      <c r="D1682" s="4"/>
      <c r="E1682" s="4" t="str">
        <f>"062102010"</f>
        <v>062102010</v>
      </c>
      <c r="F1682" s="10">
        <v>40296</v>
      </c>
      <c r="G1682" s="11">
        <v>2899.49</v>
      </c>
      <c r="H1682" s="11">
        <v>2899.49</v>
      </c>
      <c r="I1682" s="4" t="s">
        <v>366</v>
      </c>
      <c r="J1682" s="4" t="s">
        <v>367</v>
      </c>
      <c r="K1682" s="11">
        <v>0</v>
      </c>
      <c r="L1682" s="4"/>
      <c r="M1682" s="4"/>
      <c r="N1682" s="11">
        <v>0</v>
      </c>
      <c r="O1682" s="4"/>
      <c r="P1682" s="4"/>
      <c r="Q1682" s="11">
        <v>0</v>
      </c>
      <c r="R1682" s="4"/>
      <c r="S1682" s="12"/>
    </row>
    <row r="1683" spans="1:19" x14ac:dyDescent="0.25">
      <c r="A1683" s="9" t="s">
        <v>485</v>
      </c>
      <c r="B1683" s="9" t="s">
        <v>485</v>
      </c>
      <c r="C1683" s="4">
        <v>201003137</v>
      </c>
      <c r="D1683" s="4"/>
      <c r="E1683" s="4" t="str">
        <f>"062122010"</f>
        <v>062122010</v>
      </c>
      <c r="F1683" s="10">
        <v>40296</v>
      </c>
      <c r="G1683" s="11">
        <v>4755.33</v>
      </c>
      <c r="H1683" s="11">
        <v>4755.33</v>
      </c>
      <c r="I1683" s="4" t="s">
        <v>366</v>
      </c>
      <c r="J1683" s="4" t="s">
        <v>367</v>
      </c>
      <c r="K1683" s="11">
        <v>0</v>
      </c>
      <c r="L1683" s="4"/>
      <c r="M1683" s="4"/>
      <c r="N1683" s="11">
        <v>0</v>
      </c>
      <c r="O1683" s="4"/>
      <c r="P1683" s="4"/>
      <c r="Q1683" s="11">
        <v>0</v>
      </c>
      <c r="R1683" s="4"/>
      <c r="S1683" s="12"/>
    </row>
    <row r="1684" spans="1:19" x14ac:dyDescent="0.25">
      <c r="A1684" s="9" t="s">
        <v>485</v>
      </c>
      <c r="B1684" s="9" t="s">
        <v>485</v>
      </c>
      <c r="C1684" s="4">
        <v>201003141</v>
      </c>
      <c r="D1684" s="4"/>
      <c r="E1684" s="4" t="str">
        <f>"062162010"</f>
        <v>062162010</v>
      </c>
      <c r="F1684" s="10">
        <v>40296</v>
      </c>
      <c r="G1684" s="11">
        <v>2827.42</v>
      </c>
      <c r="H1684" s="11">
        <v>2827.42</v>
      </c>
      <c r="I1684" s="4" t="s">
        <v>54</v>
      </c>
      <c r="J1684" s="4" t="s">
        <v>55</v>
      </c>
      <c r="K1684" s="11">
        <v>0</v>
      </c>
      <c r="L1684" s="4"/>
      <c r="M1684" s="4"/>
      <c r="N1684" s="11">
        <v>0</v>
      </c>
      <c r="O1684" s="4"/>
      <c r="P1684" s="4"/>
      <c r="Q1684" s="11">
        <v>0</v>
      </c>
      <c r="R1684" s="4"/>
      <c r="S1684" s="12"/>
    </row>
    <row r="1685" spans="1:19" x14ac:dyDescent="0.25">
      <c r="A1685" s="9" t="s">
        <v>485</v>
      </c>
      <c r="B1685" s="9" t="s">
        <v>485</v>
      </c>
      <c r="C1685" s="4">
        <v>201003150</v>
      </c>
      <c r="D1685" s="4" t="s">
        <v>2084</v>
      </c>
      <c r="E1685" s="4" t="str">
        <f>"062302010"</f>
        <v>062302010</v>
      </c>
      <c r="F1685" s="10">
        <v>40296</v>
      </c>
      <c r="G1685" s="11">
        <v>8000</v>
      </c>
      <c r="H1685" s="11">
        <v>8000</v>
      </c>
      <c r="I1685" s="4" t="s">
        <v>366</v>
      </c>
      <c r="J1685" s="4" t="s">
        <v>367</v>
      </c>
      <c r="K1685" s="11">
        <v>0</v>
      </c>
      <c r="L1685" s="4"/>
      <c r="M1685" s="4"/>
      <c r="N1685" s="11">
        <v>0</v>
      </c>
      <c r="O1685" s="4"/>
      <c r="P1685" s="4"/>
      <c r="Q1685" s="11">
        <v>0</v>
      </c>
      <c r="R1685" s="4"/>
      <c r="S1685" s="12"/>
    </row>
    <row r="1686" spans="1:19" x14ac:dyDescent="0.25">
      <c r="A1686" s="9" t="s">
        <v>485</v>
      </c>
      <c r="B1686" s="9" t="s">
        <v>485</v>
      </c>
      <c r="C1686" s="4">
        <v>201003151</v>
      </c>
      <c r="D1686" s="4" t="s">
        <v>2084</v>
      </c>
      <c r="E1686" s="4" t="str">
        <f>"062282010"</f>
        <v>062282010</v>
      </c>
      <c r="F1686" s="10">
        <v>40296</v>
      </c>
      <c r="G1686" s="11">
        <v>5000</v>
      </c>
      <c r="H1686" s="11">
        <v>5000</v>
      </c>
      <c r="I1686" s="4" t="s">
        <v>366</v>
      </c>
      <c r="J1686" s="4" t="s">
        <v>367</v>
      </c>
      <c r="K1686" s="11">
        <v>0</v>
      </c>
      <c r="L1686" s="4"/>
      <c r="M1686" s="4"/>
      <c r="N1686" s="11">
        <v>0</v>
      </c>
      <c r="O1686" s="4"/>
      <c r="P1686" s="4"/>
      <c r="Q1686" s="11">
        <v>0</v>
      </c>
      <c r="R1686" s="4"/>
      <c r="S1686" s="12"/>
    </row>
    <row r="1687" spans="1:19" x14ac:dyDescent="0.25">
      <c r="A1687" s="9" t="s">
        <v>485</v>
      </c>
      <c r="B1687" s="9" t="s">
        <v>485</v>
      </c>
      <c r="C1687" s="4">
        <v>201003184</v>
      </c>
      <c r="D1687" s="4"/>
      <c r="E1687" s="4" t="str">
        <f>"064362010"</f>
        <v>064362010</v>
      </c>
      <c r="F1687" s="10">
        <v>40302</v>
      </c>
      <c r="G1687" s="11">
        <v>6832.53</v>
      </c>
      <c r="H1687" s="11">
        <v>6832.53</v>
      </c>
      <c r="I1687" s="4" t="s">
        <v>366</v>
      </c>
      <c r="J1687" s="4" t="s">
        <v>367</v>
      </c>
      <c r="K1687" s="11">
        <v>0</v>
      </c>
      <c r="L1687" s="4"/>
      <c r="M1687" s="4"/>
      <c r="N1687" s="11">
        <v>0</v>
      </c>
      <c r="O1687" s="4"/>
      <c r="P1687" s="4"/>
      <c r="Q1687" s="11">
        <v>0</v>
      </c>
      <c r="R1687" s="4"/>
      <c r="S1687" s="12"/>
    </row>
    <row r="1688" spans="1:19" x14ac:dyDescent="0.25">
      <c r="A1688" s="9" t="s">
        <v>485</v>
      </c>
      <c r="B1688" s="9" t="s">
        <v>485</v>
      </c>
      <c r="C1688" s="4">
        <v>201003185</v>
      </c>
      <c r="D1688" s="4"/>
      <c r="E1688" s="4" t="str">
        <f>"064242010"</f>
        <v>064242010</v>
      </c>
      <c r="F1688" s="10">
        <v>40302</v>
      </c>
      <c r="G1688" s="11">
        <v>12040.97</v>
      </c>
      <c r="H1688" s="11">
        <v>12040.97</v>
      </c>
      <c r="I1688" s="4" t="s">
        <v>366</v>
      </c>
      <c r="J1688" s="4" t="s">
        <v>367</v>
      </c>
      <c r="K1688" s="11">
        <v>0</v>
      </c>
      <c r="L1688" s="4"/>
      <c r="M1688" s="4"/>
      <c r="N1688" s="11">
        <v>0</v>
      </c>
      <c r="O1688" s="4"/>
      <c r="P1688" s="4"/>
      <c r="Q1688" s="11">
        <v>0</v>
      </c>
      <c r="R1688" s="4"/>
      <c r="S1688" s="12"/>
    </row>
    <row r="1689" spans="1:19" x14ac:dyDescent="0.25">
      <c r="A1689" s="9" t="s">
        <v>485</v>
      </c>
      <c r="B1689" s="9" t="s">
        <v>485</v>
      </c>
      <c r="C1689" s="4">
        <v>201003194</v>
      </c>
      <c r="D1689" s="4"/>
      <c r="E1689" s="4" t="str">
        <f>"065522010"</f>
        <v>065522010</v>
      </c>
      <c r="F1689" s="10">
        <v>40304</v>
      </c>
      <c r="G1689" s="11">
        <v>3377</v>
      </c>
      <c r="H1689" s="11">
        <v>3377</v>
      </c>
      <c r="I1689" s="4" t="s">
        <v>366</v>
      </c>
      <c r="J1689" s="4" t="s">
        <v>367</v>
      </c>
      <c r="K1689" s="11">
        <v>0</v>
      </c>
      <c r="L1689" s="4"/>
      <c r="M1689" s="4"/>
      <c r="N1689" s="11">
        <v>0</v>
      </c>
      <c r="O1689" s="4"/>
      <c r="P1689" s="4"/>
      <c r="Q1689" s="11">
        <v>0</v>
      </c>
      <c r="R1689" s="4"/>
      <c r="S1689" s="12"/>
    </row>
    <row r="1690" spans="1:19" x14ac:dyDescent="0.25">
      <c r="A1690" s="9" t="s">
        <v>485</v>
      </c>
      <c r="B1690" s="9" t="s">
        <v>485</v>
      </c>
      <c r="C1690" s="4">
        <v>201003195</v>
      </c>
      <c r="D1690" s="4" t="s">
        <v>2085</v>
      </c>
      <c r="E1690" s="4" t="str">
        <f>"064202010"</f>
        <v>064202010</v>
      </c>
      <c r="F1690" s="10">
        <v>40302</v>
      </c>
      <c r="G1690" s="11">
        <v>6000</v>
      </c>
      <c r="H1690" s="11">
        <v>6000</v>
      </c>
      <c r="I1690" s="4" t="s">
        <v>366</v>
      </c>
      <c r="J1690" s="4" t="s">
        <v>367</v>
      </c>
      <c r="K1690" s="11">
        <v>0</v>
      </c>
      <c r="L1690" s="4"/>
      <c r="M1690" s="4"/>
      <c r="N1690" s="11">
        <v>0</v>
      </c>
      <c r="O1690" s="4"/>
      <c r="P1690" s="4"/>
      <c r="Q1690" s="11">
        <v>0</v>
      </c>
      <c r="R1690" s="4"/>
      <c r="S1690" s="12"/>
    </row>
    <row r="1691" spans="1:19" x14ac:dyDescent="0.25">
      <c r="A1691" s="9" t="s">
        <v>485</v>
      </c>
      <c r="B1691" s="9" t="s">
        <v>485</v>
      </c>
      <c r="C1691" s="4">
        <v>201003203</v>
      </c>
      <c r="D1691" s="4"/>
      <c r="E1691" s="4" t="str">
        <f>"063262010"</f>
        <v>063262010</v>
      </c>
      <c r="F1691" s="10">
        <v>40297</v>
      </c>
      <c r="G1691" s="11">
        <v>3964.48</v>
      </c>
      <c r="H1691" s="11">
        <v>3964.48</v>
      </c>
      <c r="I1691" s="4" t="s">
        <v>366</v>
      </c>
      <c r="J1691" s="4" t="s">
        <v>367</v>
      </c>
      <c r="K1691" s="11">
        <v>0</v>
      </c>
      <c r="L1691" s="4"/>
      <c r="M1691" s="4"/>
      <c r="N1691" s="11">
        <v>0</v>
      </c>
      <c r="O1691" s="4"/>
      <c r="P1691" s="4"/>
      <c r="Q1691" s="11">
        <v>0</v>
      </c>
      <c r="R1691" s="4"/>
      <c r="S1691" s="12"/>
    </row>
    <row r="1692" spans="1:19" x14ac:dyDescent="0.25">
      <c r="A1692" s="9" t="s">
        <v>485</v>
      </c>
      <c r="B1692" s="9" t="s">
        <v>485</v>
      </c>
      <c r="C1692" s="4">
        <v>201003207</v>
      </c>
      <c r="D1692" s="4"/>
      <c r="E1692" s="4" t="str">
        <f>"063742010"</f>
        <v>063742010</v>
      </c>
      <c r="F1692" s="10">
        <v>40298</v>
      </c>
      <c r="G1692" s="11">
        <v>3667.27</v>
      </c>
      <c r="H1692" s="11">
        <v>3667.27</v>
      </c>
      <c r="I1692" s="4" t="s">
        <v>366</v>
      </c>
      <c r="J1692" s="4" t="s">
        <v>367</v>
      </c>
      <c r="K1692" s="11">
        <v>0</v>
      </c>
      <c r="L1692" s="4"/>
      <c r="M1692" s="4"/>
      <c r="N1692" s="11">
        <v>0</v>
      </c>
      <c r="O1692" s="4"/>
      <c r="P1692" s="4"/>
      <c r="Q1692" s="11">
        <v>0</v>
      </c>
      <c r="R1692" s="4"/>
      <c r="S1692" s="12"/>
    </row>
    <row r="1693" spans="1:19" x14ac:dyDescent="0.25">
      <c r="A1693" s="9" t="s">
        <v>485</v>
      </c>
      <c r="B1693" s="9" t="s">
        <v>485</v>
      </c>
      <c r="C1693" s="4">
        <v>201003209</v>
      </c>
      <c r="D1693" s="4"/>
      <c r="E1693" s="4" t="str">
        <f>"063702010"</f>
        <v>063702010</v>
      </c>
      <c r="F1693" s="10">
        <v>40298</v>
      </c>
      <c r="G1693" s="11">
        <v>3156.37</v>
      </c>
      <c r="H1693" s="11">
        <v>3156.37</v>
      </c>
      <c r="I1693" s="4" t="s">
        <v>366</v>
      </c>
      <c r="J1693" s="4" t="s">
        <v>367</v>
      </c>
      <c r="K1693" s="11">
        <v>0</v>
      </c>
      <c r="L1693" s="4"/>
      <c r="M1693" s="4"/>
      <c r="N1693" s="11">
        <v>0</v>
      </c>
      <c r="O1693" s="4"/>
      <c r="P1693" s="4"/>
      <c r="Q1693" s="11">
        <v>0</v>
      </c>
      <c r="R1693" s="4"/>
      <c r="S1693" s="12"/>
    </row>
    <row r="1694" spans="1:19" x14ac:dyDescent="0.25">
      <c r="A1694" s="9" t="s">
        <v>485</v>
      </c>
      <c r="B1694" s="9" t="s">
        <v>485</v>
      </c>
      <c r="C1694" s="4">
        <v>201003210</v>
      </c>
      <c r="D1694" s="4" t="s">
        <v>2086</v>
      </c>
      <c r="E1694" s="4" t="str">
        <f>"064732010"</f>
        <v>064732010</v>
      </c>
      <c r="F1694" s="10">
        <v>40302</v>
      </c>
      <c r="G1694" s="11">
        <v>8149.27</v>
      </c>
      <c r="H1694" s="11">
        <v>8149.27</v>
      </c>
      <c r="I1694" s="4" t="s">
        <v>366</v>
      </c>
      <c r="J1694" s="4" t="s">
        <v>367</v>
      </c>
      <c r="K1694" s="11">
        <v>0</v>
      </c>
      <c r="L1694" s="4"/>
      <c r="M1694" s="4"/>
      <c r="N1694" s="11">
        <v>0</v>
      </c>
      <c r="O1694" s="4"/>
      <c r="P1694" s="4"/>
      <c r="Q1694" s="11">
        <v>0</v>
      </c>
      <c r="R1694" s="4"/>
      <c r="S1694" s="12"/>
    </row>
    <row r="1695" spans="1:19" x14ac:dyDescent="0.25">
      <c r="A1695" s="9" t="s">
        <v>485</v>
      </c>
      <c r="B1695" s="9" t="s">
        <v>485</v>
      </c>
      <c r="C1695" s="4">
        <v>201003229</v>
      </c>
      <c r="D1695" s="4" t="s">
        <v>2087</v>
      </c>
      <c r="E1695" s="4" t="str">
        <f>"071812010"</f>
        <v>071812010</v>
      </c>
      <c r="F1695" s="10">
        <v>40319</v>
      </c>
      <c r="G1695" s="11">
        <v>46000</v>
      </c>
      <c r="H1695" s="11">
        <v>46000</v>
      </c>
      <c r="I1695" s="4" t="s">
        <v>366</v>
      </c>
      <c r="J1695" s="4" t="s">
        <v>367</v>
      </c>
      <c r="K1695" s="11">
        <v>0</v>
      </c>
      <c r="L1695" s="4"/>
      <c r="M1695" s="4"/>
      <c r="N1695" s="11">
        <v>0</v>
      </c>
      <c r="O1695" s="4"/>
      <c r="P1695" s="4"/>
      <c r="Q1695" s="11">
        <v>0</v>
      </c>
      <c r="R1695" s="4"/>
      <c r="S1695" s="12"/>
    </row>
    <row r="1696" spans="1:19" x14ac:dyDescent="0.25">
      <c r="A1696" s="9" t="s">
        <v>485</v>
      </c>
      <c r="B1696" s="9" t="s">
        <v>485</v>
      </c>
      <c r="C1696" s="4">
        <v>201003261</v>
      </c>
      <c r="D1696" s="4"/>
      <c r="E1696" s="4" t="str">
        <f>"064962010"</f>
        <v>064962010</v>
      </c>
      <c r="F1696" s="10">
        <v>40302</v>
      </c>
      <c r="G1696" s="11">
        <v>4284</v>
      </c>
      <c r="H1696" s="11">
        <v>4284</v>
      </c>
      <c r="I1696" s="4" t="s">
        <v>366</v>
      </c>
      <c r="J1696" s="4" t="s">
        <v>367</v>
      </c>
      <c r="K1696" s="11">
        <v>0</v>
      </c>
      <c r="L1696" s="4"/>
      <c r="M1696" s="4"/>
      <c r="N1696" s="11">
        <v>0</v>
      </c>
      <c r="O1696" s="4"/>
      <c r="P1696" s="4"/>
      <c r="Q1696" s="11">
        <v>0</v>
      </c>
      <c r="R1696" s="4"/>
      <c r="S1696" s="12"/>
    </row>
    <row r="1697" spans="1:19" x14ac:dyDescent="0.25">
      <c r="A1697" s="9" t="s">
        <v>485</v>
      </c>
      <c r="B1697" s="9" t="s">
        <v>485</v>
      </c>
      <c r="C1697" s="4">
        <v>201003263</v>
      </c>
      <c r="D1697" s="4"/>
      <c r="E1697" s="4" t="str">
        <f>"065422010"</f>
        <v>065422010</v>
      </c>
      <c r="F1697" s="10">
        <v>40304</v>
      </c>
      <c r="G1697" s="11">
        <v>3583.98</v>
      </c>
      <c r="H1697" s="11">
        <v>3583.98</v>
      </c>
      <c r="I1697" s="4" t="s">
        <v>366</v>
      </c>
      <c r="J1697" s="4" t="s">
        <v>367</v>
      </c>
      <c r="K1697" s="11">
        <v>0</v>
      </c>
      <c r="L1697" s="4"/>
      <c r="M1697" s="4"/>
      <c r="N1697" s="11">
        <v>0</v>
      </c>
      <c r="O1697" s="4"/>
      <c r="P1697" s="4"/>
      <c r="Q1697" s="11">
        <v>0</v>
      </c>
      <c r="R1697" s="4"/>
      <c r="S1697" s="12"/>
    </row>
    <row r="1698" spans="1:19" x14ac:dyDescent="0.25">
      <c r="A1698" s="9" t="s">
        <v>485</v>
      </c>
      <c r="B1698" s="9" t="s">
        <v>485</v>
      </c>
      <c r="C1698" s="4">
        <v>201003264</v>
      </c>
      <c r="D1698" s="4"/>
      <c r="E1698" s="4" t="str">
        <f>"065242010"</f>
        <v>065242010</v>
      </c>
      <c r="F1698" s="10">
        <v>40304</v>
      </c>
      <c r="G1698" s="11">
        <v>2944.22</v>
      </c>
      <c r="H1698" s="11">
        <v>2944.22</v>
      </c>
      <c r="I1698" s="4" t="s">
        <v>366</v>
      </c>
      <c r="J1698" s="4" t="s">
        <v>367</v>
      </c>
      <c r="K1698" s="11">
        <v>0</v>
      </c>
      <c r="L1698" s="4"/>
      <c r="M1698" s="4"/>
      <c r="N1698" s="11">
        <v>0</v>
      </c>
      <c r="O1698" s="4"/>
      <c r="P1698" s="4"/>
      <c r="Q1698" s="11">
        <v>0</v>
      </c>
      <c r="R1698" s="4"/>
      <c r="S1698" s="12"/>
    </row>
    <row r="1699" spans="1:19" x14ac:dyDescent="0.25">
      <c r="A1699" s="9" t="s">
        <v>485</v>
      </c>
      <c r="B1699" s="9" t="s">
        <v>291</v>
      </c>
      <c r="C1699" s="4">
        <v>201003266</v>
      </c>
      <c r="D1699" s="4" t="s">
        <v>2088</v>
      </c>
      <c r="E1699" s="4" t="str">
        <f>"066102010"</f>
        <v>066102010</v>
      </c>
      <c r="F1699" s="10">
        <v>40308</v>
      </c>
      <c r="G1699" s="11">
        <v>500</v>
      </c>
      <c r="H1699" s="11">
        <v>500</v>
      </c>
      <c r="I1699" s="4" t="s">
        <v>23</v>
      </c>
      <c r="J1699" s="4" t="s">
        <v>24</v>
      </c>
      <c r="K1699" s="11">
        <v>0</v>
      </c>
      <c r="L1699" s="4"/>
      <c r="M1699" s="4"/>
      <c r="N1699" s="11">
        <v>0</v>
      </c>
      <c r="O1699" s="4"/>
      <c r="P1699" s="4"/>
      <c r="Q1699" s="11">
        <v>0</v>
      </c>
      <c r="R1699" s="4"/>
      <c r="S1699" s="12"/>
    </row>
    <row r="1700" spans="1:19" x14ac:dyDescent="0.25">
      <c r="A1700" s="9" t="s">
        <v>485</v>
      </c>
      <c r="B1700" s="9" t="s">
        <v>485</v>
      </c>
      <c r="C1700" s="4">
        <v>201003276</v>
      </c>
      <c r="D1700" s="4"/>
      <c r="E1700" s="4" t="str">
        <f>"066582010"</f>
        <v>066582010</v>
      </c>
      <c r="F1700" s="10">
        <v>40308</v>
      </c>
      <c r="G1700" s="11">
        <v>3898.62</v>
      </c>
      <c r="H1700" s="11">
        <v>3898.62</v>
      </c>
      <c r="I1700" s="4" t="s">
        <v>366</v>
      </c>
      <c r="J1700" s="4" t="s">
        <v>367</v>
      </c>
      <c r="K1700" s="11">
        <v>0</v>
      </c>
      <c r="L1700" s="4"/>
      <c r="M1700" s="4"/>
      <c r="N1700" s="11">
        <v>0</v>
      </c>
      <c r="O1700" s="4"/>
      <c r="P1700" s="4"/>
      <c r="Q1700" s="11">
        <v>0</v>
      </c>
      <c r="R1700" s="4"/>
      <c r="S1700" s="12"/>
    </row>
    <row r="1701" spans="1:19" x14ac:dyDescent="0.25">
      <c r="A1701" s="9" t="s">
        <v>485</v>
      </c>
      <c r="B1701" s="9" t="s">
        <v>485</v>
      </c>
      <c r="C1701" s="4">
        <v>201003291</v>
      </c>
      <c r="D1701" s="4"/>
      <c r="E1701" s="4" t="str">
        <f>"071472010"</f>
        <v>071472010</v>
      </c>
      <c r="F1701" s="10">
        <v>40324</v>
      </c>
      <c r="G1701" s="11">
        <v>8071</v>
      </c>
      <c r="H1701" s="11">
        <v>8071</v>
      </c>
      <c r="I1701" s="4" t="s">
        <v>366</v>
      </c>
      <c r="J1701" s="4" t="s">
        <v>367</v>
      </c>
      <c r="K1701" s="11">
        <v>0</v>
      </c>
      <c r="L1701" s="4"/>
      <c r="M1701" s="4"/>
      <c r="N1701" s="11">
        <v>0</v>
      </c>
      <c r="O1701" s="4"/>
      <c r="P1701" s="4"/>
      <c r="Q1701" s="11">
        <v>0</v>
      </c>
      <c r="R1701" s="4"/>
      <c r="S1701" s="12"/>
    </row>
    <row r="1702" spans="1:19" x14ac:dyDescent="0.25">
      <c r="A1702" s="9" t="s">
        <v>485</v>
      </c>
      <c r="B1702" s="9" t="s">
        <v>485</v>
      </c>
      <c r="C1702" s="4">
        <v>201003312</v>
      </c>
      <c r="D1702" s="4" t="s">
        <v>2089</v>
      </c>
      <c r="E1702" s="4" t="str">
        <f>"066122010"</f>
        <v>066122010</v>
      </c>
      <c r="F1702" s="10">
        <v>40308</v>
      </c>
      <c r="G1702" s="11">
        <v>5000</v>
      </c>
      <c r="H1702" s="11">
        <v>5000</v>
      </c>
      <c r="I1702" s="4" t="s">
        <v>366</v>
      </c>
      <c r="J1702" s="4" t="s">
        <v>367</v>
      </c>
      <c r="K1702" s="11">
        <v>0</v>
      </c>
      <c r="L1702" s="4"/>
      <c r="M1702" s="4"/>
      <c r="N1702" s="11">
        <v>0</v>
      </c>
      <c r="O1702" s="4"/>
      <c r="P1702" s="4"/>
      <c r="Q1702" s="11">
        <v>0</v>
      </c>
      <c r="R1702" s="4"/>
      <c r="S1702" s="12"/>
    </row>
    <row r="1703" spans="1:19" x14ac:dyDescent="0.25">
      <c r="A1703" s="9" t="s">
        <v>485</v>
      </c>
      <c r="B1703" s="9" t="s">
        <v>485</v>
      </c>
      <c r="C1703" s="4">
        <v>201003326</v>
      </c>
      <c r="D1703" s="4" t="s">
        <v>2090</v>
      </c>
      <c r="E1703" s="4" t="str">
        <f>"066242010"</f>
        <v>066242010</v>
      </c>
      <c r="F1703" s="10">
        <v>40308</v>
      </c>
      <c r="G1703" s="11">
        <v>4342</v>
      </c>
      <c r="H1703" s="11">
        <v>4342</v>
      </c>
      <c r="I1703" s="4" t="s">
        <v>366</v>
      </c>
      <c r="J1703" s="4" t="s">
        <v>367</v>
      </c>
      <c r="K1703" s="11">
        <v>0</v>
      </c>
      <c r="L1703" s="4"/>
      <c r="M1703" s="4"/>
      <c r="N1703" s="11">
        <v>0</v>
      </c>
      <c r="O1703" s="4"/>
      <c r="P1703" s="4"/>
      <c r="Q1703" s="11">
        <v>0</v>
      </c>
      <c r="R1703" s="4"/>
      <c r="S1703" s="12"/>
    </row>
    <row r="1704" spans="1:19" x14ac:dyDescent="0.25">
      <c r="A1704" s="9" t="s">
        <v>485</v>
      </c>
      <c r="B1704" s="9" t="s">
        <v>485</v>
      </c>
      <c r="C1704" s="4">
        <v>201003328</v>
      </c>
      <c r="D1704" s="4" t="s">
        <v>2091</v>
      </c>
      <c r="E1704" s="4" t="str">
        <f>"071212010"</f>
        <v>071212010</v>
      </c>
      <c r="F1704" s="10">
        <v>40324</v>
      </c>
      <c r="G1704" s="11">
        <v>50000</v>
      </c>
      <c r="H1704" s="11">
        <v>50000</v>
      </c>
      <c r="I1704" s="4" t="s">
        <v>366</v>
      </c>
      <c r="J1704" s="4" t="s">
        <v>367</v>
      </c>
      <c r="K1704" s="11">
        <v>0</v>
      </c>
      <c r="L1704" s="4"/>
      <c r="M1704" s="4"/>
      <c r="N1704" s="11">
        <v>0</v>
      </c>
      <c r="O1704" s="4"/>
      <c r="P1704" s="4"/>
      <c r="Q1704" s="11">
        <v>0</v>
      </c>
      <c r="R1704" s="4"/>
      <c r="S1704" s="12"/>
    </row>
    <row r="1705" spans="1:19" x14ac:dyDescent="0.25">
      <c r="A1705" s="9" t="s">
        <v>485</v>
      </c>
      <c r="B1705" s="9" t="s">
        <v>485</v>
      </c>
      <c r="C1705" s="4">
        <v>201003341</v>
      </c>
      <c r="D1705" s="4" t="s">
        <v>2092</v>
      </c>
      <c r="E1705" s="4" t="str">
        <f>"067462010"</f>
        <v>067462010</v>
      </c>
      <c r="F1705" s="10">
        <v>40310</v>
      </c>
      <c r="G1705" s="11">
        <v>80000</v>
      </c>
      <c r="H1705" s="11">
        <v>80000</v>
      </c>
      <c r="I1705" s="4" t="s">
        <v>54</v>
      </c>
      <c r="J1705" s="4" t="s">
        <v>55</v>
      </c>
      <c r="K1705" s="11">
        <v>0</v>
      </c>
      <c r="L1705" s="4"/>
      <c r="M1705" s="4"/>
      <c r="N1705" s="11">
        <v>0</v>
      </c>
      <c r="O1705" s="4"/>
      <c r="P1705" s="4"/>
      <c r="Q1705" s="11">
        <v>0</v>
      </c>
      <c r="R1705" s="4"/>
      <c r="S1705" s="12"/>
    </row>
    <row r="1706" spans="1:19" x14ac:dyDescent="0.25">
      <c r="A1706" s="9" t="s">
        <v>485</v>
      </c>
      <c r="B1706" s="9" t="s">
        <v>485</v>
      </c>
      <c r="C1706" s="4">
        <v>201003344</v>
      </c>
      <c r="D1706" s="4" t="s">
        <v>2025</v>
      </c>
      <c r="E1706" s="4" t="str">
        <f>"067322010"</f>
        <v>067322010</v>
      </c>
      <c r="F1706" s="10">
        <v>40310</v>
      </c>
      <c r="G1706" s="11">
        <v>100000</v>
      </c>
      <c r="H1706" s="11">
        <v>100000</v>
      </c>
      <c r="I1706" s="4" t="s">
        <v>687</v>
      </c>
      <c r="J1706" s="4" t="s">
        <v>688</v>
      </c>
      <c r="K1706" s="11">
        <v>0</v>
      </c>
      <c r="L1706" s="4"/>
      <c r="M1706" s="4"/>
      <c r="N1706" s="11">
        <v>0</v>
      </c>
      <c r="O1706" s="4"/>
      <c r="P1706" s="4"/>
      <c r="Q1706" s="11">
        <v>0</v>
      </c>
      <c r="R1706" s="4"/>
      <c r="S1706" s="12"/>
    </row>
    <row r="1707" spans="1:19" x14ac:dyDescent="0.25">
      <c r="A1707" s="9" t="s">
        <v>485</v>
      </c>
      <c r="B1707" s="9" t="s">
        <v>485</v>
      </c>
      <c r="C1707" s="4">
        <v>201003345</v>
      </c>
      <c r="D1707" s="4"/>
      <c r="E1707" s="4" t="str">
        <f>"067062010"</f>
        <v>067062010</v>
      </c>
      <c r="F1707" s="10">
        <v>40310</v>
      </c>
      <c r="G1707" s="11">
        <v>4007.98</v>
      </c>
      <c r="H1707" s="11">
        <v>4007.98</v>
      </c>
      <c r="I1707" s="4" t="s">
        <v>366</v>
      </c>
      <c r="J1707" s="4" t="s">
        <v>367</v>
      </c>
      <c r="K1707" s="11">
        <v>0</v>
      </c>
      <c r="L1707" s="4"/>
      <c r="M1707" s="4"/>
      <c r="N1707" s="11">
        <v>0</v>
      </c>
      <c r="O1707" s="4"/>
      <c r="P1707" s="4"/>
      <c r="Q1707" s="11">
        <v>0</v>
      </c>
      <c r="R1707" s="4"/>
      <c r="S1707" s="12"/>
    </row>
    <row r="1708" spans="1:19" x14ac:dyDescent="0.25">
      <c r="A1708" s="9" t="s">
        <v>485</v>
      </c>
      <c r="B1708" s="9" t="s">
        <v>485</v>
      </c>
      <c r="C1708" s="4">
        <v>201003346</v>
      </c>
      <c r="D1708" s="4"/>
      <c r="E1708" s="4" t="str">
        <f>"066322010"</f>
        <v>066322010</v>
      </c>
      <c r="F1708" s="10">
        <v>40308</v>
      </c>
      <c r="G1708" s="11">
        <v>8606.5</v>
      </c>
      <c r="H1708" s="11">
        <v>8606.5</v>
      </c>
      <c r="I1708" s="4" t="s">
        <v>54</v>
      </c>
      <c r="J1708" s="4" t="s">
        <v>55</v>
      </c>
      <c r="K1708" s="11">
        <v>0</v>
      </c>
      <c r="L1708" s="4"/>
      <c r="M1708" s="4"/>
      <c r="N1708" s="11">
        <v>0</v>
      </c>
      <c r="O1708" s="4"/>
      <c r="P1708" s="4"/>
      <c r="Q1708" s="11">
        <v>0</v>
      </c>
      <c r="R1708" s="4"/>
      <c r="S1708" s="12"/>
    </row>
    <row r="1709" spans="1:19" x14ac:dyDescent="0.25">
      <c r="A1709" s="9" t="s">
        <v>485</v>
      </c>
      <c r="B1709" s="9" t="s">
        <v>485</v>
      </c>
      <c r="C1709" s="4">
        <v>201003355</v>
      </c>
      <c r="D1709" s="4"/>
      <c r="E1709" s="4" t="str">
        <f>"066882010"</f>
        <v>066882010</v>
      </c>
      <c r="F1709" s="10">
        <v>40310</v>
      </c>
      <c r="G1709" s="11">
        <v>2750</v>
      </c>
      <c r="H1709" s="11">
        <v>2750</v>
      </c>
      <c r="I1709" s="4" t="s">
        <v>366</v>
      </c>
      <c r="J1709" s="4" t="s">
        <v>367</v>
      </c>
      <c r="K1709" s="11">
        <v>0</v>
      </c>
      <c r="L1709" s="4"/>
      <c r="M1709" s="4"/>
      <c r="N1709" s="11">
        <v>0</v>
      </c>
      <c r="O1709" s="4"/>
      <c r="P1709" s="4"/>
      <c r="Q1709" s="11">
        <v>0</v>
      </c>
      <c r="R1709" s="4"/>
      <c r="S1709" s="12"/>
    </row>
    <row r="1710" spans="1:19" x14ac:dyDescent="0.25">
      <c r="A1710" s="9" t="s">
        <v>485</v>
      </c>
      <c r="B1710" s="9" t="s">
        <v>485</v>
      </c>
      <c r="C1710" s="4">
        <v>201003382</v>
      </c>
      <c r="D1710" s="4" t="s">
        <v>2534</v>
      </c>
      <c r="E1710" s="4" t="str">
        <f>"091712010"</f>
        <v>091712010</v>
      </c>
      <c r="F1710" s="10">
        <v>40368</v>
      </c>
      <c r="G1710" s="11">
        <v>0</v>
      </c>
      <c r="H1710" s="11">
        <v>6226.8</v>
      </c>
      <c r="I1710" s="4" t="s">
        <v>366</v>
      </c>
      <c r="J1710" s="4" t="s">
        <v>367</v>
      </c>
      <c r="K1710" s="11">
        <v>1556</v>
      </c>
      <c r="L1710" s="4" t="s">
        <v>366</v>
      </c>
      <c r="M1710" s="4" t="s">
        <v>367</v>
      </c>
      <c r="N1710" s="11">
        <v>0</v>
      </c>
      <c r="O1710" s="4"/>
      <c r="P1710" s="4"/>
      <c r="Q1710" s="11">
        <v>0</v>
      </c>
      <c r="R1710" s="4"/>
      <c r="S1710" s="12"/>
    </row>
    <row r="1711" spans="1:19" x14ac:dyDescent="0.25">
      <c r="A1711" s="9" t="s">
        <v>485</v>
      </c>
      <c r="B1711" s="9" t="s">
        <v>485</v>
      </c>
      <c r="C1711" s="4">
        <v>201003397</v>
      </c>
      <c r="D1711" s="4"/>
      <c r="E1711" s="4" t="str">
        <f>"067542010"</f>
        <v>067542010</v>
      </c>
      <c r="F1711" s="10">
        <v>40311</v>
      </c>
      <c r="G1711" s="11">
        <v>6505.27</v>
      </c>
      <c r="H1711" s="11">
        <v>6505.27</v>
      </c>
      <c r="I1711" s="4" t="s">
        <v>366</v>
      </c>
      <c r="J1711" s="4" t="s">
        <v>367</v>
      </c>
      <c r="K1711" s="11">
        <v>0</v>
      </c>
      <c r="L1711" s="4"/>
      <c r="M1711" s="4"/>
      <c r="N1711" s="11">
        <v>0</v>
      </c>
      <c r="O1711" s="4"/>
      <c r="P1711" s="4"/>
      <c r="Q1711" s="11">
        <v>0</v>
      </c>
      <c r="R1711" s="4"/>
      <c r="S1711" s="12"/>
    </row>
    <row r="1712" spans="1:19" x14ac:dyDescent="0.25">
      <c r="A1712" s="9" t="s">
        <v>485</v>
      </c>
      <c r="B1712" s="9" t="s">
        <v>485</v>
      </c>
      <c r="C1712" s="4">
        <v>201003410</v>
      </c>
      <c r="D1712" s="4" t="s">
        <v>2093</v>
      </c>
      <c r="E1712" s="4" t="str">
        <f>"068162010"</f>
        <v>068162010</v>
      </c>
      <c r="F1712" s="10">
        <v>40316</v>
      </c>
      <c r="G1712" s="11">
        <v>3000</v>
      </c>
      <c r="H1712" s="11">
        <v>3000</v>
      </c>
      <c r="I1712" s="4" t="s">
        <v>366</v>
      </c>
      <c r="J1712" s="4" t="s">
        <v>367</v>
      </c>
      <c r="K1712" s="11">
        <v>0</v>
      </c>
      <c r="L1712" s="4"/>
      <c r="M1712" s="4"/>
      <c r="N1712" s="11">
        <v>0</v>
      </c>
      <c r="O1712" s="4"/>
      <c r="P1712" s="4"/>
      <c r="Q1712" s="11">
        <v>0</v>
      </c>
      <c r="R1712" s="4"/>
      <c r="S1712" s="12"/>
    </row>
    <row r="1713" spans="1:19" x14ac:dyDescent="0.25">
      <c r="A1713" s="9" t="s">
        <v>485</v>
      </c>
      <c r="B1713" s="9" t="s">
        <v>485</v>
      </c>
      <c r="C1713" s="4">
        <v>201003412</v>
      </c>
      <c r="D1713" s="4" t="s">
        <v>2093</v>
      </c>
      <c r="E1713" s="4" t="str">
        <f>"067902010"</f>
        <v>067902010</v>
      </c>
      <c r="F1713" s="10">
        <v>40310</v>
      </c>
      <c r="G1713" s="11">
        <v>6000</v>
      </c>
      <c r="H1713" s="11">
        <v>6000</v>
      </c>
      <c r="I1713" s="4" t="s">
        <v>366</v>
      </c>
      <c r="J1713" s="4" t="s">
        <v>367</v>
      </c>
      <c r="K1713" s="11">
        <v>0</v>
      </c>
      <c r="L1713" s="4"/>
      <c r="M1713" s="4"/>
      <c r="N1713" s="11">
        <v>0</v>
      </c>
      <c r="O1713" s="4"/>
      <c r="P1713" s="4"/>
      <c r="Q1713" s="11">
        <v>0</v>
      </c>
      <c r="R1713" s="4"/>
      <c r="S1713" s="12"/>
    </row>
    <row r="1714" spans="1:19" x14ac:dyDescent="0.25">
      <c r="A1714" s="9" t="s">
        <v>485</v>
      </c>
      <c r="B1714" s="9" t="s">
        <v>485</v>
      </c>
      <c r="C1714" s="4">
        <v>201003424</v>
      </c>
      <c r="D1714" s="4"/>
      <c r="E1714" s="4" t="str">
        <f>"070972010"</f>
        <v>070972010</v>
      </c>
      <c r="F1714" s="10">
        <v>40318</v>
      </c>
      <c r="G1714" s="11">
        <v>6627.43</v>
      </c>
      <c r="H1714" s="11">
        <v>6627.43</v>
      </c>
      <c r="I1714" s="4" t="s">
        <v>366</v>
      </c>
      <c r="J1714" s="4" t="s">
        <v>367</v>
      </c>
      <c r="K1714" s="11">
        <v>0</v>
      </c>
      <c r="L1714" s="4"/>
      <c r="M1714" s="4"/>
      <c r="N1714" s="11">
        <v>0</v>
      </c>
      <c r="O1714" s="4"/>
      <c r="P1714" s="4"/>
      <c r="Q1714" s="11">
        <v>0</v>
      </c>
      <c r="R1714" s="4"/>
      <c r="S1714" s="12"/>
    </row>
    <row r="1715" spans="1:19" x14ac:dyDescent="0.25">
      <c r="A1715" s="9" t="s">
        <v>485</v>
      </c>
      <c r="B1715" s="9" t="s">
        <v>485</v>
      </c>
      <c r="C1715" s="4">
        <v>201003428</v>
      </c>
      <c r="D1715" s="4"/>
      <c r="E1715" s="4" t="str">
        <f>"070992010"</f>
        <v>070992010</v>
      </c>
      <c r="F1715" s="10">
        <v>40318</v>
      </c>
      <c r="G1715" s="11">
        <v>5897.5</v>
      </c>
      <c r="H1715" s="11">
        <v>5897.5</v>
      </c>
      <c r="I1715" s="4" t="s">
        <v>366</v>
      </c>
      <c r="J1715" s="4" t="s">
        <v>367</v>
      </c>
      <c r="K1715" s="11">
        <v>0</v>
      </c>
      <c r="L1715" s="4"/>
      <c r="M1715" s="4"/>
      <c r="N1715" s="11">
        <v>0</v>
      </c>
      <c r="O1715" s="4"/>
      <c r="P1715" s="4"/>
      <c r="Q1715" s="11">
        <v>0</v>
      </c>
      <c r="R1715" s="4"/>
      <c r="S1715" s="12"/>
    </row>
    <row r="1716" spans="1:19" x14ac:dyDescent="0.25">
      <c r="A1716" s="9" t="s">
        <v>485</v>
      </c>
      <c r="B1716" s="9" t="s">
        <v>485</v>
      </c>
      <c r="C1716" s="4">
        <v>201003435</v>
      </c>
      <c r="D1716" s="4"/>
      <c r="E1716" s="4" t="str">
        <f>"071232010"</f>
        <v>071232010</v>
      </c>
      <c r="F1716" s="10">
        <v>40324</v>
      </c>
      <c r="G1716" s="11">
        <v>2805</v>
      </c>
      <c r="H1716" s="11">
        <v>2805</v>
      </c>
      <c r="I1716" s="4" t="s">
        <v>366</v>
      </c>
      <c r="J1716" s="4" t="s">
        <v>367</v>
      </c>
      <c r="K1716" s="11">
        <v>0</v>
      </c>
      <c r="L1716" s="4"/>
      <c r="M1716" s="4"/>
      <c r="N1716" s="11">
        <v>0</v>
      </c>
      <c r="O1716" s="4"/>
      <c r="P1716" s="4"/>
      <c r="Q1716" s="11">
        <v>0</v>
      </c>
      <c r="R1716" s="4"/>
      <c r="S1716" s="12"/>
    </row>
    <row r="1717" spans="1:19" x14ac:dyDescent="0.25">
      <c r="A1717" s="9" t="s">
        <v>485</v>
      </c>
      <c r="B1717" s="9" t="s">
        <v>485</v>
      </c>
      <c r="C1717" s="4">
        <v>201003446</v>
      </c>
      <c r="D1717" s="4"/>
      <c r="E1717" s="4" t="str">
        <f>"068802010"</f>
        <v>068802010</v>
      </c>
      <c r="F1717" s="10">
        <v>40312</v>
      </c>
      <c r="G1717" s="11">
        <v>4521.1499999999996</v>
      </c>
      <c r="H1717" s="11">
        <v>4521.1499999999996</v>
      </c>
      <c r="I1717" s="4" t="s">
        <v>366</v>
      </c>
      <c r="J1717" s="4" t="s">
        <v>367</v>
      </c>
      <c r="K1717" s="11">
        <v>0</v>
      </c>
      <c r="L1717" s="4"/>
      <c r="M1717" s="4"/>
      <c r="N1717" s="11">
        <v>0</v>
      </c>
      <c r="O1717" s="4"/>
      <c r="P1717" s="4"/>
      <c r="Q1717" s="11">
        <v>0</v>
      </c>
      <c r="R1717" s="4"/>
      <c r="S1717" s="12"/>
    </row>
    <row r="1718" spans="1:19" x14ac:dyDescent="0.25">
      <c r="A1718" s="9" t="s">
        <v>485</v>
      </c>
      <c r="B1718" s="9" t="s">
        <v>485</v>
      </c>
      <c r="C1718" s="4">
        <v>201003510</v>
      </c>
      <c r="D1718" s="4" t="s">
        <v>2094</v>
      </c>
      <c r="E1718" s="4" t="str">
        <f>"069302010"</f>
        <v>069302010</v>
      </c>
      <c r="F1718" s="10">
        <v>40316</v>
      </c>
      <c r="G1718" s="11">
        <v>31000</v>
      </c>
      <c r="H1718" s="11">
        <v>31000</v>
      </c>
      <c r="I1718" s="4" t="s">
        <v>366</v>
      </c>
      <c r="J1718" s="4" t="s">
        <v>367</v>
      </c>
      <c r="K1718" s="11">
        <v>0</v>
      </c>
      <c r="L1718" s="4"/>
      <c r="M1718" s="4"/>
      <c r="N1718" s="11">
        <v>0</v>
      </c>
      <c r="O1718" s="4"/>
      <c r="P1718" s="4"/>
      <c r="Q1718" s="11">
        <v>0</v>
      </c>
      <c r="R1718" s="4"/>
      <c r="S1718" s="12"/>
    </row>
    <row r="1719" spans="1:19" x14ac:dyDescent="0.25">
      <c r="A1719" s="9" t="s">
        <v>485</v>
      </c>
      <c r="B1719" s="9" t="s">
        <v>485</v>
      </c>
      <c r="C1719" s="4">
        <v>201003518</v>
      </c>
      <c r="D1719" s="4"/>
      <c r="E1719" s="4" t="str">
        <f>"070532010"</f>
        <v>070532010</v>
      </c>
      <c r="F1719" s="10">
        <v>40323</v>
      </c>
      <c r="G1719" s="11">
        <v>4479.79</v>
      </c>
      <c r="H1719" s="11">
        <v>4479.79</v>
      </c>
      <c r="I1719" s="4" t="s">
        <v>366</v>
      </c>
      <c r="J1719" s="4" t="s">
        <v>367</v>
      </c>
      <c r="K1719" s="11">
        <v>0</v>
      </c>
      <c r="L1719" s="4"/>
      <c r="M1719" s="4"/>
      <c r="N1719" s="11">
        <v>0</v>
      </c>
      <c r="O1719" s="4"/>
      <c r="P1719" s="4"/>
      <c r="Q1719" s="11">
        <v>0</v>
      </c>
      <c r="R1719" s="4"/>
      <c r="S1719" s="12"/>
    </row>
    <row r="1720" spans="1:19" x14ac:dyDescent="0.25">
      <c r="A1720" s="9" t="s">
        <v>485</v>
      </c>
      <c r="B1720" s="9" t="s">
        <v>485</v>
      </c>
      <c r="C1720" s="4">
        <v>201003525</v>
      </c>
      <c r="D1720" s="4"/>
      <c r="E1720" s="4" t="str">
        <f>"070132010"</f>
        <v>070132010</v>
      </c>
      <c r="F1720" s="10">
        <v>40318</v>
      </c>
      <c r="G1720" s="11">
        <v>5623.37</v>
      </c>
      <c r="H1720" s="11">
        <v>5623.37</v>
      </c>
      <c r="I1720" s="4" t="s">
        <v>366</v>
      </c>
      <c r="J1720" s="4" t="s">
        <v>367</v>
      </c>
      <c r="K1720" s="11">
        <v>0</v>
      </c>
      <c r="L1720" s="4"/>
      <c r="M1720" s="4"/>
      <c r="N1720" s="11">
        <v>0</v>
      </c>
      <c r="O1720" s="4"/>
      <c r="P1720" s="4"/>
      <c r="Q1720" s="11">
        <v>0</v>
      </c>
      <c r="R1720" s="4"/>
      <c r="S1720" s="12"/>
    </row>
    <row r="1721" spans="1:19" x14ac:dyDescent="0.25">
      <c r="A1721" s="9" t="s">
        <v>485</v>
      </c>
      <c r="B1721" s="9" t="s">
        <v>485</v>
      </c>
      <c r="C1721" s="4">
        <v>201003528</v>
      </c>
      <c r="D1721" s="4"/>
      <c r="E1721" s="4" t="str">
        <f>"071012010"</f>
        <v>071012010</v>
      </c>
      <c r="F1721" s="10">
        <v>40318</v>
      </c>
      <c r="G1721" s="11">
        <v>4967.8100000000004</v>
      </c>
      <c r="H1721" s="11">
        <v>4967.8100000000004</v>
      </c>
      <c r="I1721" s="4" t="s">
        <v>54</v>
      </c>
      <c r="J1721" s="4" t="s">
        <v>55</v>
      </c>
      <c r="K1721" s="11">
        <v>0</v>
      </c>
      <c r="L1721" s="4"/>
      <c r="M1721" s="4"/>
      <c r="N1721" s="11">
        <v>0</v>
      </c>
      <c r="O1721" s="4"/>
      <c r="P1721" s="4"/>
      <c r="Q1721" s="11">
        <v>0</v>
      </c>
      <c r="R1721" s="4"/>
      <c r="S1721" s="12"/>
    </row>
    <row r="1722" spans="1:19" x14ac:dyDescent="0.25">
      <c r="A1722" s="9" t="s">
        <v>485</v>
      </c>
      <c r="B1722" s="9" t="s">
        <v>485</v>
      </c>
      <c r="C1722" s="4">
        <v>201003530</v>
      </c>
      <c r="D1722" s="4" t="s">
        <v>2095</v>
      </c>
      <c r="E1722" s="4" t="str">
        <f>"073462010"</f>
        <v>073462010</v>
      </c>
      <c r="F1722" s="10">
        <v>40324</v>
      </c>
      <c r="G1722" s="11">
        <v>6000</v>
      </c>
      <c r="H1722" s="11">
        <v>6000</v>
      </c>
      <c r="I1722" s="4" t="s">
        <v>366</v>
      </c>
      <c r="J1722" s="4" t="s">
        <v>367</v>
      </c>
      <c r="K1722" s="11">
        <v>0</v>
      </c>
      <c r="L1722" s="4"/>
      <c r="M1722" s="4"/>
      <c r="N1722" s="11">
        <v>0</v>
      </c>
      <c r="O1722" s="4"/>
      <c r="P1722" s="4"/>
      <c r="Q1722" s="11">
        <v>0</v>
      </c>
      <c r="R1722" s="4"/>
      <c r="S1722" s="12"/>
    </row>
    <row r="1723" spans="1:19" x14ac:dyDescent="0.25">
      <c r="A1723" s="9" t="s">
        <v>485</v>
      </c>
      <c r="B1723" s="9" t="s">
        <v>485</v>
      </c>
      <c r="C1723" s="4">
        <v>201003533</v>
      </c>
      <c r="D1723" s="4" t="s">
        <v>2534</v>
      </c>
      <c r="E1723" s="4" t="str">
        <f>"070592010"</f>
        <v>070592010</v>
      </c>
      <c r="F1723" s="10">
        <v>40323</v>
      </c>
      <c r="G1723" s="11">
        <v>15000</v>
      </c>
      <c r="H1723" s="11">
        <v>12000</v>
      </c>
      <c r="I1723" s="4" t="s">
        <v>366</v>
      </c>
      <c r="J1723" s="4" t="s">
        <v>367</v>
      </c>
      <c r="K1723" s="11">
        <v>3000</v>
      </c>
      <c r="L1723" s="4" t="s">
        <v>366</v>
      </c>
      <c r="M1723" s="4" t="s">
        <v>367</v>
      </c>
      <c r="N1723" s="11">
        <v>0</v>
      </c>
      <c r="O1723" s="4"/>
      <c r="P1723" s="4"/>
      <c r="Q1723" s="11">
        <v>0</v>
      </c>
      <c r="R1723" s="4"/>
      <c r="S1723" s="12"/>
    </row>
    <row r="1724" spans="1:19" x14ac:dyDescent="0.25">
      <c r="A1724" s="9" t="s">
        <v>485</v>
      </c>
      <c r="B1724" s="9" t="s">
        <v>485</v>
      </c>
      <c r="C1724" s="4">
        <v>201003535</v>
      </c>
      <c r="D1724" s="4"/>
      <c r="E1724" s="4" t="str">
        <f>"070492010"</f>
        <v>070492010</v>
      </c>
      <c r="F1724" s="10">
        <v>40316</v>
      </c>
      <c r="G1724" s="11">
        <v>3365.84</v>
      </c>
      <c r="H1724" s="11">
        <v>3365.84</v>
      </c>
      <c r="I1724" s="4" t="s">
        <v>366</v>
      </c>
      <c r="J1724" s="4" t="s">
        <v>367</v>
      </c>
      <c r="K1724" s="11">
        <v>0</v>
      </c>
      <c r="L1724" s="4"/>
      <c r="M1724" s="4"/>
      <c r="N1724" s="11">
        <v>0</v>
      </c>
      <c r="O1724" s="4"/>
      <c r="P1724" s="4"/>
      <c r="Q1724" s="11">
        <v>0</v>
      </c>
      <c r="R1724" s="4"/>
      <c r="S1724" s="12"/>
    </row>
    <row r="1725" spans="1:19" x14ac:dyDescent="0.25">
      <c r="A1725" s="9" t="s">
        <v>485</v>
      </c>
      <c r="B1725" s="9" t="s">
        <v>485</v>
      </c>
      <c r="C1725" s="4">
        <v>201003538</v>
      </c>
      <c r="D1725" s="4"/>
      <c r="E1725" s="4" t="str">
        <f>"070552010"</f>
        <v>070552010</v>
      </c>
      <c r="F1725" s="10">
        <v>40323</v>
      </c>
      <c r="G1725" s="11">
        <v>3368.31</v>
      </c>
      <c r="H1725" s="11">
        <v>3368.31</v>
      </c>
      <c r="I1725" s="4" t="s">
        <v>366</v>
      </c>
      <c r="J1725" s="4" t="s">
        <v>367</v>
      </c>
      <c r="K1725" s="11">
        <v>0</v>
      </c>
      <c r="L1725" s="4"/>
      <c r="M1725" s="4"/>
      <c r="N1725" s="11">
        <v>0</v>
      </c>
      <c r="O1725" s="4"/>
      <c r="P1725" s="4"/>
      <c r="Q1725" s="11">
        <v>0</v>
      </c>
      <c r="R1725" s="4"/>
      <c r="S1725" s="12"/>
    </row>
    <row r="1726" spans="1:19" x14ac:dyDescent="0.25">
      <c r="A1726" s="9" t="s">
        <v>485</v>
      </c>
      <c r="B1726" s="9" t="s">
        <v>485</v>
      </c>
      <c r="C1726" s="4">
        <v>201003543</v>
      </c>
      <c r="D1726" s="4" t="s">
        <v>2534</v>
      </c>
      <c r="E1726" s="4" t="str">
        <f>"070572010"</f>
        <v>070572010</v>
      </c>
      <c r="F1726" s="10">
        <v>40323</v>
      </c>
      <c r="G1726" s="11">
        <v>12000</v>
      </c>
      <c r="H1726" s="11">
        <v>9600</v>
      </c>
      <c r="I1726" s="4" t="s">
        <v>366</v>
      </c>
      <c r="J1726" s="4" t="s">
        <v>367</v>
      </c>
      <c r="K1726" s="11">
        <v>2400</v>
      </c>
      <c r="L1726" s="4" t="s">
        <v>366</v>
      </c>
      <c r="M1726" s="4" t="s">
        <v>367</v>
      </c>
      <c r="N1726" s="11">
        <v>0</v>
      </c>
      <c r="O1726" s="4"/>
      <c r="P1726" s="4"/>
      <c r="Q1726" s="11">
        <v>0</v>
      </c>
      <c r="R1726" s="4"/>
      <c r="S1726" s="12"/>
    </row>
    <row r="1727" spans="1:19" x14ac:dyDescent="0.25">
      <c r="A1727" s="9" t="s">
        <v>485</v>
      </c>
      <c r="B1727" s="9" t="s">
        <v>485</v>
      </c>
      <c r="C1727" s="4">
        <v>201003572</v>
      </c>
      <c r="D1727" s="4"/>
      <c r="E1727" s="4" t="str">
        <f>"070912010"</f>
        <v>070912010</v>
      </c>
      <c r="F1727" s="10">
        <v>40319</v>
      </c>
      <c r="G1727" s="11">
        <v>17589.88</v>
      </c>
      <c r="H1727" s="11">
        <v>17589.88</v>
      </c>
      <c r="I1727" s="4" t="s">
        <v>366</v>
      </c>
      <c r="J1727" s="4" t="s">
        <v>367</v>
      </c>
      <c r="K1727" s="11">
        <v>0</v>
      </c>
      <c r="L1727" s="4"/>
      <c r="M1727" s="4"/>
      <c r="N1727" s="11">
        <v>0</v>
      </c>
      <c r="O1727" s="4"/>
      <c r="P1727" s="4"/>
      <c r="Q1727" s="11">
        <v>0</v>
      </c>
      <c r="R1727" s="4"/>
      <c r="S1727" s="12"/>
    </row>
    <row r="1728" spans="1:19" x14ac:dyDescent="0.25">
      <c r="A1728" s="9" t="s">
        <v>485</v>
      </c>
      <c r="B1728" s="9" t="s">
        <v>485</v>
      </c>
      <c r="C1728" s="4">
        <v>201003577</v>
      </c>
      <c r="D1728" s="4"/>
      <c r="E1728" s="4" t="str">
        <f>"072972010"</f>
        <v>072972010</v>
      </c>
      <c r="F1728" s="10">
        <v>40323</v>
      </c>
      <c r="G1728" s="11">
        <v>5059.99</v>
      </c>
      <c r="H1728" s="11">
        <v>5059.99</v>
      </c>
      <c r="I1728" s="4" t="s">
        <v>366</v>
      </c>
      <c r="J1728" s="4" t="s">
        <v>367</v>
      </c>
      <c r="K1728" s="11">
        <v>0</v>
      </c>
      <c r="L1728" s="4"/>
      <c r="M1728" s="4"/>
      <c r="N1728" s="11">
        <v>0</v>
      </c>
      <c r="O1728" s="4"/>
      <c r="P1728" s="4"/>
      <c r="Q1728" s="11">
        <v>0</v>
      </c>
      <c r="R1728" s="4"/>
      <c r="S1728" s="12"/>
    </row>
    <row r="1729" spans="1:19" x14ac:dyDescent="0.25">
      <c r="A1729" s="9" t="s">
        <v>485</v>
      </c>
      <c r="B1729" s="9" t="s">
        <v>485</v>
      </c>
      <c r="C1729" s="4">
        <v>201003582</v>
      </c>
      <c r="D1729" s="4"/>
      <c r="E1729" s="4" t="str">
        <f>"070712010"</f>
        <v>070712010</v>
      </c>
      <c r="F1729" s="10">
        <v>40319</v>
      </c>
      <c r="G1729" s="11">
        <v>3712.42</v>
      </c>
      <c r="H1729" s="11">
        <v>3712.42</v>
      </c>
      <c r="I1729" s="4" t="s">
        <v>366</v>
      </c>
      <c r="J1729" s="4" t="s">
        <v>367</v>
      </c>
      <c r="K1729" s="11">
        <v>0</v>
      </c>
      <c r="L1729" s="4"/>
      <c r="M1729" s="4"/>
      <c r="N1729" s="11">
        <v>0</v>
      </c>
      <c r="O1729" s="4"/>
      <c r="P1729" s="4"/>
      <c r="Q1729" s="11">
        <v>0</v>
      </c>
      <c r="R1729" s="4"/>
      <c r="S1729" s="12"/>
    </row>
    <row r="1730" spans="1:19" x14ac:dyDescent="0.25">
      <c r="A1730" s="9" t="s">
        <v>485</v>
      </c>
      <c r="B1730" s="9" t="s">
        <v>485</v>
      </c>
      <c r="C1730" s="4">
        <v>201003583</v>
      </c>
      <c r="D1730" s="4"/>
      <c r="E1730" s="4" t="str">
        <f>"070612010"</f>
        <v>070612010</v>
      </c>
      <c r="F1730" s="10">
        <v>40323</v>
      </c>
      <c r="G1730" s="11">
        <v>4783.99</v>
      </c>
      <c r="H1730" s="11">
        <v>4783.99</v>
      </c>
      <c r="I1730" s="4" t="s">
        <v>366</v>
      </c>
      <c r="J1730" s="4" t="s">
        <v>367</v>
      </c>
      <c r="K1730" s="11">
        <v>0</v>
      </c>
      <c r="L1730" s="4"/>
      <c r="M1730" s="4"/>
      <c r="N1730" s="11">
        <v>0</v>
      </c>
      <c r="O1730" s="4"/>
      <c r="P1730" s="4"/>
      <c r="Q1730" s="11">
        <v>0</v>
      </c>
      <c r="R1730" s="4"/>
      <c r="S1730" s="12"/>
    </row>
    <row r="1731" spans="1:19" x14ac:dyDescent="0.25">
      <c r="A1731" s="9" t="s">
        <v>485</v>
      </c>
      <c r="B1731" s="9" t="s">
        <v>485</v>
      </c>
      <c r="C1731" s="4">
        <v>201003584</v>
      </c>
      <c r="D1731" s="4" t="s">
        <v>2534</v>
      </c>
      <c r="E1731" s="4" t="str">
        <f>"070672010"</f>
        <v>070672010</v>
      </c>
      <c r="F1731" s="10">
        <v>40319</v>
      </c>
      <c r="G1731" s="11">
        <v>14500</v>
      </c>
      <c r="H1731" s="11">
        <v>11600</v>
      </c>
      <c r="I1731" s="4" t="s">
        <v>366</v>
      </c>
      <c r="J1731" s="4" t="s">
        <v>367</v>
      </c>
      <c r="K1731" s="11">
        <v>2900</v>
      </c>
      <c r="L1731" s="4" t="s">
        <v>366</v>
      </c>
      <c r="M1731" s="4" t="s">
        <v>367</v>
      </c>
      <c r="N1731" s="11">
        <v>0</v>
      </c>
      <c r="O1731" s="4"/>
      <c r="P1731" s="4"/>
      <c r="Q1731" s="11">
        <v>0</v>
      </c>
      <c r="R1731" s="4"/>
      <c r="S1731" s="12"/>
    </row>
    <row r="1732" spans="1:19" x14ac:dyDescent="0.25">
      <c r="A1732" s="9" t="s">
        <v>485</v>
      </c>
      <c r="B1732" s="9" t="s">
        <v>485</v>
      </c>
      <c r="C1732" s="4">
        <v>201003586</v>
      </c>
      <c r="D1732" s="4" t="s">
        <v>2096</v>
      </c>
      <c r="E1732" s="4" t="str">
        <f>"071892010"</f>
        <v>071892010</v>
      </c>
      <c r="F1732" s="10">
        <v>40319</v>
      </c>
      <c r="G1732" s="11">
        <v>300000</v>
      </c>
      <c r="H1732" s="11">
        <v>300000</v>
      </c>
      <c r="I1732" s="4" t="s">
        <v>687</v>
      </c>
      <c r="J1732" s="4" t="s">
        <v>688</v>
      </c>
      <c r="K1732" s="11">
        <v>0</v>
      </c>
      <c r="L1732" s="4"/>
      <c r="M1732" s="4"/>
      <c r="N1732" s="11">
        <v>0</v>
      </c>
      <c r="O1732" s="4"/>
      <c r="P1732" s="4"/>
      <c r="Q1732" s="11">
        <v>0</v>
      </c>
      <c r="R1732" s="4"/>
      <c r="S1732" s="12"/>
    </row>
    <row r="1733" spans="1:19" x14ac:dyDescent="0.25">
      <c r="A1733" s="9" t="s">
        <v>485</v>
      </c>
      <c r="B1733" s="9" t="s">
        <v>485</v>
      </c>
      <c r="C1733" s="4">
        <v>201003598</v>
      </c>
      <c r="D1733" s="4"/>
      <c r="E1733" s="4" t="str">
        <f>"071272010"</f>
        <v>071272010</v>
      </c>
      <c r="F1733" s="10">
        <v>40324</v>
      </c>
      <c r="G1733" s="11">
        <v>3911.37</v>
      </c>
      <c r="H1733" s="11">
        <v>3911.37</v>
      </c>
      <c r="I1733" s="4" t="s">
        <v>366</v>
      </c>
      <c r="J1733" s="4" t="s">
        <v>367</v>
      </c>
      <c r="K1733" s="11">
        <v>0</v>
      </c>
      <c r="L1733" s="4"/>
      <c r="M1733" s="4"/>
      <c r="N1733" s="11">
        <v>0</v>
      </c>
      <c r="O1733" s="4"/>
      <c r="P1733" s="4"/>
      <c r="Q1733" s="11">
        <v>0</v>
      </c>
      <c r="R1733" s="4"/>
      <c r="S1733" s="12"/>
    </row>
    <row r="1734" spans="1:19" x14ac:dyDescent="0.25">
      <c r="A1734" s="9" t="s">
        <v>485</v>
      </c>
      <c r="B1734" s="9" t="s">
        <v>485</v>
      </c>
      <c r="C1734" s="4">
        <v>201003634</v>
      </c>
      <c r="D1734" s="4" t="s">
        <v>379</v>
      </c>
      <c r="E1734" s="4" t="str">
        <f>"071732010"</f>
        <v>071732010</v>
      </c>
      <c r="F1734" s="10">
        <v>40319</v>
      </c>
      <c r="G1734" s="11">
        <v>30000</v>
      </c>
      <c r="H1734" s="11">
        <v>24000</v>
      </c>
      <c r="I1734" s="4" t="s">
        <v>366</v>
      </c>
      <c r="J1734" s="4" t="s">
        <v>367</v>
      </c>
      <c r="K1734" s="11">
        <v>6000</v>
      </c>
      <c r="L1734" s="4" t="s">
        <v>366</v>
      </c>
      <c r="M1734" s="4" t="s">
        <v>367</v>
      </c>
      <c r="N1734" s="11">
        <v>0</v>
      </c>
      <c r="O1734" s="4"/>
      <c r="P1734" s="4"/>
      <c r="Q1734" s="11">
        <v>0</v>
      </c>
      <c r="R1734" s="4"/>
      <c r="S1734" s="12"/>
    </row>
    <row r="1735" spans="1:19" x14ac:dyDescent="0.25">
      <c r="A1735" s="9" t="s">
        <v>485</v>
      </c>
      <c r="B1735" s="9" t="s">
        <v>485</v>
      </c>
      <c r="C1735" s="4">
        <v>201003644</v>
      </c>
      <c r="D1735" s="4"/>
      <c r="E1735" s="4" t="str">
        <f>"072532010"</f>
        <v>072532010</v>
      </c>
      <c r="F1735" s="10">
        <v>40324</v>
      </c>
      <c r="G1735" s="11">
        <v>6401.91</v>
      </c>
      <c r="H1735" s="11">
        <v>6401.91</v>
      </c>
      <c r="I1735" s="4" t="s">
        <v>366</v>
      </c>
      <c r="J1735" s="4" t="s">
        <v>367</v>
      </c>
      <c r="K1735" s="11">
        <v>0</v>
      </c>
      <c r="L1735" s="4"/>
      <c r="M1735" s="4"/>
      <c r="N1735" s="11">
        <v>0</v>
      </c>
      <c r="O1735" s="4"/>
      <c r="P1735" s="4"/>
      <c r="Q1735" s="11">
        <v>0</v>
      </c>
      <c r="R1735" s="4"/>
      <c r="S1735" s="12"/>
    </row>
    <row r="1736" spans="1:19" x14ac:dyDescent="0.25">
      <c r="A1736" s="9" t="s">
        <v>485</v>
      </c>
      <c r="B1736" s="9" t="s">
        <v>485</v>
      </c>
      <c r="C1736" s="4">
        <v>201003671</v>
      </c>
      <c r="D1736" s="4" t="s">
        <v>2097</v>
      </c>
      <c r="E1736" s="4" t="str">
        <f>"077002010"</f>
        <v>077002010</v>
      </c>
      <c r="F1736" s="10">
        <v>40337</v>
      </c>
      <c r="G1736" s="11">
        <v>6661.28</v>
      </c>
      <c r="H1736" s="11">
        <v>6661.28</v>
      </c>
      <c r="I1736" s="4" t="s">
        <v>366</v>
      </c>
      <c r="J1736" s="4" t="s">
        <v>367</v>
      </c>
      <c r="K1736" s="11">
        <v>0</v>
      </c>
      <c r="L1736" s="4"/>
      <c r="M1736" s="4"/>
      <c r="N1736" s="11">
        <v>0</v>
      </c>
      <c r="O1736" s="4"/>
      <c r="P1736" s="4"/>
      <c r="Q1736" s="11">
        <v>0</v>
      </c>
      <c r="R1736" s="4"/>
      <c r="S1736" s="12"/>
    </row>
    <row r="1737" spans="1:19" x14ac:dyDescent="0.25">
      <c r="A1737" s="9" t="s">
        <v>485</v>
      </c>
      <c r="B1737" s="9" t="s">
        <v>485</v>
      </c>
      <c r="C1737" s="4">
        <v>201003685</v>
      </c>
      <c r="D1737" s="4"/>
      <c r="E1737" s="4" t="str">
        <f>"073422010"</f>
        <v>073422010</v>
      </c>
      <c r="F1737" s="10">
        <v>40324</v>
      </c>
      <c r="G1737" s="11">
        <v>21134.240000000002</v>
      </c>
      <c r="H1737" s="11">
        <v>21134.240000000002</v>
      </c>
      <c r="I1737" s="4" t="s">
        <v>366</v>
      </c>
      <c r="J1737" s="4" t="s">
        <v>367</v>
      </c>
      <c r="K1737" s="11">
        <v>0</v>
      </c>
      <c r="L1737" s="4"/>
      <c r="M1737" s="4"/>
      <c r="N1737" s="11">
        <v>0</v>
      </c>
      <c r="O1737" s="4"/>
      <c r="P1737" s="4"/>
      <c r="Q1737" s="11">
        <v>0</v>
      </c>
      <c r="R1737" s="4"/>
      <c r="S1737" s="12"/>
    </row>
    <row r="1738" spans="1:19" x14ac:dyDescent="0.25">
      <c r="A1738" s="9" t="s">
        <v>485</v>
      </c>
      <c r="B1738" s="9" t="s">
        <v>485</v>
      </c>
      <c r="C1738" s="4">
        <v>201003704</v>
      </c>
      <c r="D1738" s="4" t="s">
        <v>2098</v>
      </c>
      <c r="E1738" s="4" t="str">
        <f>"076822010"</f>
        <v>076822010</v>
      </c>
      <c r="F1738" s="10">
        <v>40338</v>
      </c>
      <c r="G1738" s="11">
        <v>13000</v>
      </c>
      <c r="H1738" s="11">
        <v>13000</v>
      </c>
      <c r="I1738" s="4" t="s">
        <v>366</v>
      </c>
      <c r="J1738" s="4" t="s">
        <v>367</v>
      </c>
      <c r="K1738" s="11">
        <v>0</v>
      </c>
      <c r="L1738" s="4"/>
      <c r="M1738" s="4"/>
      <c r="N1738" s="11">
        <v>0</v>
      </c>
      <c r="O1738" s="4"/>
      <c r="P1738" s="4"/>
      <c r="Q1738" s="11">
        <v>0</v>
      </c>
      <c r="R1738" s="4"/>
      <c r="S1738" s="12"/>
    </row>
    <row r="1739" spans="1:19" x14ac:dyDescent="0.25">
      <c r="A1739" s="9" t="s">
        <v>485</v>
      </c>
      <c r="B1739" s="9" t="s">
        <v>485</v>
      </c>
      <c r="C1739" s="4">
        <v>201003723</v>
      </c>
      <c r="D1739" s="4"/>
      <c r="E1739" s="4" t="str">
        <f>"073622010"</f>
        <v>073622010</v>
      </c>
      <c r="F1739" s="10">
        <v>40324</v>
      </c>
      <c r="G1739" s="11">
        <v>5000</v>
      </c>
      <c r="H1739" s="11">
        <v>5000</v>
      </c>
      <c r="I1739" s="4" t="s">
        <v>366</v>
      </c>
      <c r="J1739" s="4" t="s">
        <v>367</v>
      </c>
      <c r="K1739" s="11">
        <v>0</v>
      </c>
      <c r="L1739" s="4"/>
      <c r="M1739" s="4"/>
      <c r="N1739" s="11">
        <v>0</v>
      </c>
      <c r="O1739" s="4"/>
      <c r="P1739" s="4"/>
      <c r="Q1739" s="11">
        <v>0</v>
      </c>
      <c r="R1739" s="4"/>
      <c r="S1739" s="12"/>
    </row>
    <row r="1740" spans="1:19" x14ac:dyDescent="0.25">
      <c r="A1740" s="9" t="s">
        <v>485</v>
      </c>
      <c r="B1740" s="9" t="s">
        <v>485</v>
      </c>
      <c r="C1740" s="4">
        <v>201003753</v>
      </c>
      <c r="D1740" s="4" t="s">
        <v>2099</v>
      </c>
      <c r="E1740" s="4" t="str">
        <f>"074582010"</f>
        <v>074582010</v>
      </c>
      <c r="F1740" s="10">
        <v>40332</v>
      </c>
      <c r="G1740" s="11">
        <v>7426.12</v>
      </c>
      <c r="H1740" s="11">
        <v>7426.12</v>
      </c>
      <c r="I1740" s="4" t="s">
        <v>366</v>
      </c>
      <c r="J1740" s="4" t="s">
        <v>367</v>
      </c>
      <c r="K1740" s="11">
        <v>0</v>
      </c>
      <c r="L1740" s="4"/>
      <c r="M1740" s="4"/>
      <c r="N1740" s="11">
        <v>0</v>
      </c>
      <c r="O1740" s="4"/>
      <c r="P1740" s="4"/>
      <c r="Q1740" s="11">
        <v>0</v>
      </c>
      <c r="R1740" s="4"/>
      <c r="S1740" s="12"/>
    </row>
    <row r="1741" spans="1:19" x14ac:dyDescent="0.25">
      <c r="A1741" s="9" t="s">
        <v>485</v>
      </c>
      <c r="B1741" s="9" t="s">
        <v>485</v>
      </c>
      <c r="C1741" s="4">
        <v>201003764</v>
      </c>
      <c r="D1741" s="4" t="s">
        <v>2099</v>
      </c>
      <c r="E1741" s="4" t="str">
        <f>"074482010"</f>
        <v>074482010</v>
      </c>
      <c r="F1741" s="10">
        <v>40331</v>
      </c>
      <c r="G1741" s="11">
        <v>5480.27</v>
      </c>
      <c r="H1741" s="11">
        <v>5480.27</v>
      </c>
      <c r="I1741" s="4" t="s">
        <v>366</v>
      </c>
      <c r="J1741" s="4" t="s">
        <v>367</v>
      </c>
      <c r="K1741" s="11">
        <v>0</v>
      </c>
      <c r="L1741" s="4"/>
      <c r="M1741" s="4"/>
      <c r="N1741" s="11">
        <v>0</v>
      </c>
      <c r="O1741" s="4"/>
      <c r="P1741" s="4"/>
      <c r="Q1741" s="11">
        <v>0</v>
      </c>
      <c r="R1741" s="4"/>
      <c r="S1741" s="12"/>
    </row>
    <row r="1742" spans="1:19" x14ac:dyDescent="0.25">
      <c r="A1742" s="9" t="s">
        <v>485</v>
      </c>
      <c r="B1742" s="9" t="s">
        <v>485</v>
      </c>
      <c r="C1742" s="4">
        <v>201003775</v>
      </c>
      <c r="D1742" s="4" t="s">
        <v>2100</v>
      </c>
      <c r="E1742" s="4" t="str">
        <f>"076332010"</f>
        <v>076332010</v>
      </c>
      <c r="F1742" s="10">
        <v>40333</v>
      </c>
      <c r="G1742" s="11">
        <v>5000</v>
      </c>
      <c r="H1742" s="11">
        <v>5000</v>
      </c>
      <c r="I1742" s="4" t="s">
        <v>366</v>
      </c>
      <c r="J1742" s="4" t="s">
        <v>367</v>
      </c>
      <c r="K1742" s="11">
        <v>0</v>
      </c>
      <c r="L1742" s="4"/>
      <c r="M1742" s="4"/>
      <c r="N1742" s="11">
        <v>0</v>
      </c>
      <c r="O1742" s="4"/>
      <c r="P1742" s="4"/>
      <c r="Q1742" s="11">
        <v>0</v>
      </c>
      <c r="R1742" s="4"/>
      <c r="S1742" s="12"/>
    </row>
    <row r="1743" spans="1:19" x14ac:dyDescent="0.25">
      <c r="A1743" s="9" t="s">
        <v>485</v>
      </c>
      <c r="B1743" s="9" t="s">
        <v>485</v>
      </c>
      <c r="C1743" s="4">
        <v>201003776</v>
      </c>
      <c r="D1743" s="4" t="s">
        <v>2101</v>
      </c>
      <c r="E1743" s="4" t="str">
        <f>"076452010"</f>
        <v>076452010</v>
      </c>
      <c r="F1743" s="10">
        <v>40333</v>
      </c>
      <c r="G1743" s="11">
        <v>5000</v>
      </c>
      <c r="H1743" s="11">
        <v>5000</v>
      </c>
      <c r="I1743" s="4" t="s">
        <v>366</v>
      </c>
      <c r="J1743" s="4" t="s">
        <v>367</v>
      </c>
      <c r="K1743" s="11">
        <v>0</v>
      </c>
      <c r="L1743" s="4"/>
      <c r="M1743" s="4"/>
      <c r="N1743" s="11">
        <v>0</v>
      </c>
      <c r="O1743" s="4"/>
      <c r="P1743" s="4"/>
      <c r="Q1743" s="11">
        <v>0</v>
      </c>
      <c r="R1743" s="4"/>
      <c r="S1743" s="12"/>
    </row>
    <row r="1744" spans="1:19" x14ac:dyDescent="0.25">
      <c r="A1744" s="9" t="s">
        <v>485</v>
      </c>
      <c r="B1744" s="9" t="s">
        <v>485</v>
      </c>
      <c r="C1744" s="4">
        <v>201003777</v>
      </c>
      <c r="D1744" s="4"/>
      <c r="E1744" s="4" t="str">
        <f>"074542010"</f>
        <v>074542010</v>
      </c>
      <c r="F1744" s="10">
        <v>40332</v>
      </c>
      <c r="G1744" s="11">
        <v>2622.87</v>
      </c>
      <c r="H1744" s="11">
        <v>2622.87</v>
      </c>
      <c r="I1744" s="4" t="s">
        <v>366</v>
      </c>
      <c r="J1744" s="4" t="s">
        <v>367</v>
      </c>
      <c r="K1744" s="11">
        <v>0</v>
      </c>
      <c r="L1744" s="4"/>
      <c r="M1744" s="4"/>
      <c r="N1744" s="11">
        <v>0</v>
      </c>
      <c r="O1744" s="4"/>
      <c r="P1744" s="4"/>
      <c r="Q1744" s="11">
        <v>0</v>
      </c>
      <c r="R1744" s="4"/>
      <c r="S1744" s="12"/>
    </row>
    <row r="1745" spans="1:19" x14ac:dyDescent="0.25">
      <c r="A1745" s="9" t="s">
        <v>485</v>
      </c>
      <c r="B1745" s="9" t="s">
        <v>485</v>
      </c>
      <c r="C1745" s="4">
        <v>201003792</v>
      </c>
      <c r="D1745" s="4"/>
      <c r="E1745" s="4" t="str">
        <f>"085342010"</f>
        <v>085342010</v>
      </c>
      <c r="F1745" s="10">
        <v>40357</v>
      </c>
      <c r="G1745" s="11">
        <v>3103</v>
      </c>
      <c r="H1745" s="11">
        <v>3103</v>
      </c>
      <c r="I1745" s="4" t="s">
        <v>366</v>
      </c>
      <c r="J1745" s="4" t="s">
        <v>367</v>
      </c>
      <c r="K1745" s="11">
        <v>0</v>
      </c>
      <c r="L1745" s="4"/>
      <c r="M1745" s="4"/>
      <c r="N1745" s="11">
        <v>0</v>
      </c>
      <c r="O1745" s="4"/>
      <c r="P1745" s="4"/>
      <c r="Q1745" s="11">
        <v>0</v>
      </c>
      <c r="R1745" s="4"/>
      <c r="S1745" s="12"/>
    </row>
    <row r="1746" spans="1:19" x14ac:dyDescent="0.25">
      <c r="A1746" s="9" t="s">
        <v>485</v>
      </c>
      <c r="B1746" s="9" t="s">
        <v>485</v>
      </c>
      <c r="C1746" s="4">
        <v>201003796</v>
      </c>
      <c r="D1746" s="4"/>
      <c r="E1746" s="4" t="str">
        <f>"076352010"</f>
        <v>076352010</v>
      </c>
      <c r="F1746" s="10">
        <v>40333</v>
      </c>
      <c r="G1746" s="11">
        <v>8940.3700000000008</v>
      </c>
      <c r="H1746" s="11">
        <v>8940.3700000000008</v>
      </c>
      <c r="I1746" s="4" t="s">
        <v>366</v>
      </c>
      <c r="J1746" s="4" t="s">
        <v>367</v>
      </c>
      <c r="K1746" s="11">
        <v>0</v>
      </c>
      <c r="L1746" s="4"/>
      <c r="M1746" s="4"/>
      <c r="N1746" s="11">
        <v>0</v>
      </c>
      <c r="O1746" s="4"/>
      <c r="P1746" s="4"/>
      <c r="Q1746" s="11">
        <v>0</v>
      </c>
      <c r="R1746" s="4"/>
      <c r="S1746" s="12"/>
    </row>
    <row r="1747" spans="1:19" x14ac:dyDescent="0.25">
      <c r="A1747" s="9" t="s">
        <v>485</v>
      </c>
      <c r="B1747" s="9" t="s">
        <v>485</v>
      </c>
      <c r="C1747" s="4">
        <v>201003826</v>
      </c>
      <c r="D1747" s="4"/>
      <c r="E1747" s="4" t="str">
        <f>"078152010"</f>
        <v>078152010</v>
      </c>
      <c r="F1747" s="10">
        <v>40340</v>
      </c>
      <c r="G1747" s="11">
        <v>3121.46</v>
      </c>
      <c r="H1747" s="11">
        <v>3121.46</v>
      </c>
      <c r="I1747" s="4" t="s">
        <v>366</v>
      </c>
      <c r="J1747" s="4" t="s">
        <v>367</v>
      </c>
      <c r="K1747" s="11">
        <v>0</v>
      </c>
      <c r="L1747" s="4"/>
      <c r="M1747" s="4"/>
      <c r="N1747" s="11">
        <v>0</v>
      </c>
      <c r="O1747" s="4"/>
      <c r="P1747" s="4"/>
      <c r="Q1747" s="11">
        <v>0</v>
      </c>
      <c r="R1747" s="4"/>
      <c r="S1747" s="12"/>
    </row>
    <row r="1748" spans="1:19" x14ac:dyDescent="0.25">
      <c r="A1748" s="9" t="s">
        <v>485</v>
      </c>
      <c r="B1748" s="9" t="s">
        <v>485</v>
      </c>
      <c r="C1748" s="4">
        <v>201003829</v>
      </c>
      <c r="D1748" s="4" t="s">
        <v>2102</v>
      </c>
      <c r="E1748" s="4" t="str">
        <f>"083052010"</f>
        <v>083052010</v>
      </c>
      <c r="F1748" s="10">
        <v>40346</v>
      </c>
      <c r="G1748" s="11">
        <v>18000</v>
      </c>
      <c r="H1748" s="11">
        <v>18000</v>
      </c>
      <c r="I1748" s="4" t="s">
        <v>366</v>
      </c>
      <c r="J1748" s="4" t="s">
        <v>367</v>
      </c>
      <c r="K1748" s="11">
        <v>0</v>
      </c>
      <c r="L1748" s="4"/>
      <c r="M1748" s="4"/>
      <c r="N1748" s="11">
        <v>0</v>
      </c>
      <c r="O1748" s="4"/>
      <c r="P1748" s="4"/>
      <c r="Q1748" s="11">
        <v>0</v>
      </c>
      <c r="R1748" s="4"/>
      <c r="S1748" s="12"/>
    </row>
    <row r="1749" spans="1:19" x14ac:dyDescent="0.25">
      <c r="A1749" s="9" t="s">
        <v>485</v>
      </c>
      <c r="B1749" s="9" t="s">
        <v>485</v>
      </c>
      <c r="C1749" s="4">
        <v>201003839</v>
      </c>
      <c r="D1749" s="4"/>
      <c r="E1749" s="4" t="str">
        <f>"078232010"</f>
        <v>078232010</v>
      </c>
      <c r="F1749" s="10">
        <v>40340</v>
      </c>
      <c r="G1749" s="11">
        <v>2502.4699999999998</v>
      </c>
      <c r="H1749" s="11">
        <v>2502.4699999999998</v>
      </c>
      <c r="I1749" s="4" t="s">
        <v>366</v>
      </c>
      <c r="J1749" s="4" t="s">
        <v>367</v>
      </c>
      <c r="K1749" s="11">
        <v>0</v>
      </c>
      <c r="L1749" s="4"/>
      <c r="M1749" s="4"/>
      <c r="N1749" s="11">
        <v>0</v>
      </c>
      <c r="O1749" s="4"/>
      <c r="P1749" s="4"/>
      <c r="Q1749" s="11">
        <v>0</v>
      </c>
      <c r="R1749" s="4"/>
      <c r="S1749" s="12"/>
    </row>
    <row r="1750" spans="1:19" x14ac:dyDescent="0.25">
      <c r="A1750" s="9" t="s">
        <v>485</v>
      </c>
      <c r="B1750" s="9" t="s">
        <v>485</v>
      </c>
      <c r="C1750" s="4">
        <v>201003840</v>
      </c>
      <c r="D1750" s="4"/>
      <c r="E1750" s="4" t="str">
        <f>"077552010"</f>
        <v>077552010</v>
      </c>
      <c r="F1750" s="10">
        <v>40340</v>
      </c>
      <c r="G1750" s="11">
        <v>3626.6</v>
      </c>
      <c r="H1750" s="11">
        <v>3626.6</v>
      </c>
      <c r="I1750" s="4" t="s">
        <v>366</v>
      </c>
      <c r="J1750" s="4" t="s">
        <v>367</v>
      </c>
      <c r="K1750" s="11">
        <v>0</v>
      </c>
      <c r="L1750" s="4"/>
      <c r="M1750" s="4"/>
      <c r="N1750" s="11">
        <v>0</v>
      </c>
      <c r="O1750" s="4"/>
      <c r="P1750" s="4"/>
      <c r="Q1750" s="11">
        <v>0</v>
      </c>
      <c r="R1750" s="4"/>
      <c r="S1750" s="12"/>
    </row>
    <row r="1751" spans="1:19" x14ac:dyDescent="0.25">
      <c r="A1751" s="9" t="s">
        <v>485</v>
      </c>
      <c r="B1751" s="9" t="s">
        <v>485</v>
      </c>
      <c r="C1751" s="4">
        <v>201003841</v>
      </c>
      <c r="D1751" s="4"/>
      <c r="E1751" s="4" t="str">
        <f>"077532010"</f>
        <v>077532010</v>
      </c>
      <c r="F1751" s="10">
        <v>40340</v>
      </c>
      <c r="G1751" s="11">
        <v>7044.21</v>
      </c>
      <c r="H1751" s="11">
        <v>7044.21</v>
      </c>
      <c r="I1751" s="4" t="s">
        <v>366</v>
      </c>
      <c r="J1751" s="4" t="s">
        <v>367</v>
      </c>
      <c r="K1751" s="11">
        <v>0</v>
      </c>
      <c r="L1751" s="4"/>
      <c r="M1751" s="4"/>
      <c r="N1751" s="11">
        <v>0</v>
      </c>
      <c r="O1751" s="4"/>
      <c r="P1751" s="4"/>
      <c r="Q1751" s="11">
        <v>0</v>
      </c>
      <c r="R1751" s="4"/>
      <c r="S1751" s="12"/>
    </row>
    <row r="1752" spans="1:19" x14ac:dyDescent="0.25">
      <c r="A1752" s="9" t="s">
        <v>485</v>
      </c>
      <c r="B1752" s="9" t="s">
        <v>485</v>
      </c>
      <c r="C1752" s="4">
        <v>201003858</v>
      </c>
      <c r="D1752" s="4"/>
      <c r="E1752" s="4" t="str">
        <f>"075842010"</f>
        <v>075842010</v>
      </c>
      <c r="F1752" s="10">
        <v>40333</v>
      </c>
      <c r="G1752" s="11">
        <v>6500</v>
      </c>
      <c r="H1752" s="11">
        <v>6500</v>
      </c>
      <c r="I1752" s="4" t="s">
        <v>366</v>
      </c>
      <c r="J1752" s="4" t="s">
        <v>367</v>
      </c>
      <c r="K1752" s="11">
        <v>0</v>
      </c>
      <c r="L1752" s="4"/>
      <c r="M1752" s="4"/>
      <c r="N1752" s="11">
        <v>0</v>
      </c>
      <c r="O1752" s="4"/>
      <c r="P1752" s="4"/>
      <c r="Q1752" s="11">
        <v>0</v>
      </c>
      <c r="R1752" s="4"/>
      <c r="S1752" s="12"/>
    </row>
    <row r="1753" spans="1:19" x14ac:dyDescent="0.25">
      <c r="A1753" s="9" t="s">
        <v>485</v>
      </c>
      <c r="B1753" s="9" t="s">
        <v>485</v>
      </c>
      <c r="C1753" s="4">
        <v>201003864</v>
      </c>
      <c r="D1753" s="4" t="s">
        <v>2103</v>
      </c>
      <c r="E1753" s="4" t="str">
        <f>"076532010"</f>
        <v>076532010</v>
      </c>
      <c r="F1753" s="10">
        <v>40336</v>
      </c>
      <c r="G1753" s="11">
        <v>300000</v>
      </c>
      <c r="H1753" s="11">
        <v>300000</v>
      </c>
      <c r="I1753" s="4" t="s">
        <v>687</v>
      </c>
      <c r="J1753" s="4" t="s">
        <v>688</v>
      </c>
      <c r="K1753" s="11">
        <v>0</v>
      </c>
      <c r="L1753" s="4"/>
      <c r="M1753" s="4"/>
      <c r="N1753" s="11">
        <v>0</v>
      </c>
      <c r="O1753" s="4"/>
      <c r="P1753" s="4"/>
      <c r="Q1753" s="11">
        <v>0</v>
      </c>
      <c r="R1753" s="4"/>
      <c r="S1753" s="12"/>
    </row>
    <row r="1754" spans="1:19" x14ac:dyDescent="0.25">
      <c r="A1754" s="9" t="s">
        <v>485</v>
      </c>
      <c r="B1754" s="9" t="s">
        <v>485</v>
      </c>
      <c r="C1754" s="4">
        <v>201003873</v>
      </c>
      <c r="D1754" s="4" t="s">
        <v>2057</v>
      </c>
      <c r="E1754" s="4" t="str">
        <f>"077102010"</f>
        <v>077102010</v>
      </c>
      <c r="F1754" s="10">
        <v>40336</v>
      </c>
      <c r="G1754" s="11">
        <v>7809.31</v>
      </c>
      <c r="H1754" s="11">
        <v>7809.31</v>
      </c>
      <c r="I1754" s="4" t="s">
        <v>72</v>
      </c>
      <c r="J1754" s="4" t="s">
        <v>73</v>
      </c>
      <c r="K1754" s="11">
        <v>0</v>
      </c>
      <c r="L1754" s="4"/>
      <c r="M1754" s="4"/>
      <c r="N1754" s="11">
        <v>0</v>
      </c>
      <c r="O1754" s="4"/>
      <c r="P1754" s="4"/>
      <c r="Q1754" s="11">
        <v>0</v>
      </c>
      <c r="R1754" s="4"/>
      <c r="S1754" s="12"/>
    </row>
    <row r="1755" spans="1:19" x14ac:dyDescent="0.25">
      <c r="A1755" s="9" t="s">
        <v>485</v>
      </c>
      <c r="B1755" s="9" t="s">
        <v>485</v>
      </c>
      <c r="C1755" s="4">
        <v>201003873</v>
      </c>
      <c r="D1755" s="4" t="s">
        <v>2057</v>
      </c>
      <c r="E1755" s="4" t="str">
        <f>"077122010"</f>
        <v>077122010</v>
      </c>
      <c r="F1755" s="10">
        <v>40337</v>
      </c>
      <c r="G1755" s="11">
        <v>80000</v>
      </c>
      <c r="H1755" s="11">
        <v>80000</v>
      </c>
      <c r="I1755" s="4" t="s">
        <v>72</v>
      </c>
      <c r="J1755" s="4" t="s">
        <v>73</v>
      </c>
      <c r="K1755" s="11">
        <v>0</v>
      </c>
      <c r="L1755" s="4"/>
      <c r="M1755" s="4"/>
      <c r="N1755" s="11">
        <v>0</v>
      </c>
      <c r="O1755" s="4"/>
      <c r="P1755" s="4"/>
      <c r="Q1755" s="11">
        <v>0</v>
      </c>
      <c r="R1755" s="4"/>
      <c r="S1755" s="12"/>
    </row>
    <row r="1756" spans="1:19" x14ac:dyDescent="0.25">
      <c r="A1756" s="9" t="s">
        <v>485</v>
      </c>
      <c r="B1756" s="9" t="s">
        <v>485</v>
      </c>
      <c r="C1756" s="4">
        <v>201003880</v>
      </c>
      <c r="D1756" s="4" t="s">
        <v>2104</v>
      </c>
      <c r="E1756" s="4" t="str">
        <f>"077182010"</f>
        <v>077182010</v>
      </c>
      <c r="F1756" s="10">
        <v>40337</v>
      </c>
      <c r="G1756" s="11">
        <v>1900000</v>
      </c>
      <c r="H1756" s="11">
        <v>1900000</v>
      </c>
      <c r="I1756" s="4" t="s">
        <v>687</v>
      </c>
      <c r="J1756" s="4" t="s">
        <v>688</v>
      </c>
      <c r="K1756" s="11">
        <v>0</v>
      </c>
      <c r="L1756" s="4"/>
      <c r="M1756" s="4"/>
      <c r="N1756" s="11">
        <v>0</v>
      </c>
      <c r="O1756" s="4"/>
      <c r="P1756" s="4"/>
      <c r="Q1756" s="11">
        <v>0</v>
      </c>
      <c r="R1756" s="4"/>
      <c r="S1756" s="12"/>
    </row>
    <row r="1757" spans="1:19" x14ac:dyDescent="0.25">
      <c r="A1757" s="9" t="s">
        <v>485</v>
      </c>
      <c r="B1757" s="9" t="s">
        <v>485</v>
      </c>
      <c r="C1757" s="4">
        <v>201003885</v>
      </c>
      <c r="D1757" s="4"/>
      <c r="E1757" s="4" t="str">
        <f>"076782010"</f>
        <v>076782010</v>
      </c>
      <c r="F1757" s="10">
        <v>40338</v>
      </c>
      <c r="G1757" s="11">
        <v>5079.87</v>
      </c>
      <c r="H1757" s="11">
        <v>5079.87</v>
      </c>
      <c r="I1757" s="4" t="s">
        <v>366</v>
      </c>
      <c r="J1757" s="4" t="s">
        <v>367</v>
      </c>
      <c r="K1757" s="11">
        <v>0</v>
      </c>
      <c r="L1757" s="4"/>
      <c r="M1757" s="4"/>
      <c r="N1757" s="11">
        <v>0</v>
      </c>
      <c r="O1757" s="4"/>
      <c r="P1757" s="4"/>
      <c r="Q1757" s="11">
        <v>0</v>
      </c>
      <c r="R1757" s="4"/>
      <c r="S1757" s="12"/>
    </row>
    <row r="1758" spans="1:19" x14ac:dyDescent="0.25">
      <c r="A1758" s="9" t="s">
        <v>485</v>
      </c>
      <c r="B1758" s="9" t="s">
        <v>485</v>
      </c>
      <c r="C1758" s="4">
        <v>201003886</v>
      </c>
      <c r="D1758" s="4" t="s">
        <v>2099</v>
      </c>
      <c r="E1758" s="4" t="str">
        <f>"078332010"</f>
        <v>078332010</v>
      </c>
      <c r="F1758" s="10">
        <v>40340</v>
      </c>
      <c r="G1758" s="11">
        <v>27995.16</v>
      </c>
      <c r="H1758" s="11">
        <v>27995.16</v>
      </c>
      <c r="I1758" s="4" t="s">
        <v>366</v>
      </c>
      <c r="J1758" s="4" t="s">
        <v>367</v>
      </c>
      <c r="K1758" s="11">
        <v>0</v>
      </c>
      <c r="L1758" s="4"/>
      <c r="M1758" s="4"/>
      <c r="N1758" s="11">
        <v>0</v>
      </c>
      <c r="O1758" s="4"/>
      <c r="P1758" s="4"/>
      <c r="Q1758" s="11">
        <v>0</v>
      </c>
      <c r="R1758" s="4"/>
      <c r="S1758" s="12"/>
    </row>
    <row r="1759" spans="1:19" x14ac:dyDescent="0.25">
      <c r="A1759" s="9" t="s">
        <v>485</v>
      </c>
      <c r="B1759" s="9" t="s">
        <v>485</v>
      </c>
      <c r="C1759" s="4">
        <v>201003894</v>
      </c>
      <c r="D1759" s="4"/>
      <c r="E1759" s="4" t="str">
        <f>"077022010"</f>
        <v>077022010</v>
      </c>
      <c r="F1759" s="10">
        <v>40337</v>
      </c>
      <c r="G1759" s="11">
        <v>26500</v>
      </c>
      <c r="H1759" s="11">
        <v>26500</v>
      </c>
      <c r="I1759" s="4" t="s">
        <v>366</v>
      </c>
      <c r="J1759" s="4" t="s">
        <v>367</v>
      </c>
      <c r="K1759" s="11">
        <v>0</v>
      </c>
      <c r="L1759" s="4"/>
      <c r="M1759" s="4"/>
      <c r="N1759" s="11">
        <v>0</v>
      </c>
      <c r="O1759" s="4"/>
      <c r="P1759" s="4"/>
      <c r="Q1759" s="11">
        <v>0</v>
      </c>
      <c r="R1759" s="4"/>
      <c r="S1759" s="12"/>
    </row>
    <row r="1760" spans="1:19" x14ac:dyDescent="0.25">
      <c r="A1760" s="9" t="s">
        <v>485</v>
      </c>
      <c r="B1760" s="9" t="s">
        <v>485</v>
      </c>
      <c r="C1760" s="4">
        <v>201003898</v>
      </c>
      <c r="D1760" s="4"/>
      <c r="E1760" s="4" t="str">
        <f>"076732010"</f>
        <v>076732010</v>
      </c>
      <c r="F1760" s="10">
        <v>40338</v>
      </c>
      <c r="G1760" s="11">
        <v>5000</v>
      </c>
      <c r="H1760" s="11">
        <v>5000</v>
      </c>
      <c r="I1760" s="4" t="s">
        <v>54</v>
      </c>
      <c r="J1760" s="4" t="s">
        <v>55</v>
      </c>
      <c r="K1760" s="11">
        <v>0</v>
      </c>
      <c r="L1760" s="4"/>
      <c r="M1760" s="4"/>
      <c r="N1760" s="11">
        <v>0</v>
      </c>
      <c r="O1760" s="4"/>
      <c r="P1760" s="4"/>
      <c r="Q1760" s="11">
        <v>0</v>
      </c>
      <c r="R1760" s="4"/>
      <c r="S1760" s="12"/>
    </row>
    <row r="1761" spans="1:19" x14ac:dyDescent="0.25">
      <c r="A1761" s="9" t="s">
        <v>485</v>
      </c>
      <c r="B1761" s="9" t="s">
        <v>485</v>
      </c>
      <c r="C1761" s="4">
        <v>201003924</v>
      </c>
      <c r="D1761" s="4"/>
      <c r="E1761" s="4" t="str">
        <f>"078632010"</f>
        <v>078632010</v>
      </c>
      <c r="F1761" s="10">
        <v>40340</v>
      </c>
      <c r="G1761" s="11">
        <v>7176.57</v>
      </c>
      <c r="H1761" s="11">
        <v>7176.57</v>
      </c>
      <c r="I1761" s="4" t="s">
        <v>366</v>
      </c>
      <c r="J1761" s="4" t="s">
        <v>367</v>
      </c>
      <c r="K1761" s="11">
        <v>0</v>
      </c>
      <c r="L1761" s="4"/>
      <c r="M1761" s="4"/>
      <c r="N1761" s="11">
        <v>0</v>
      </c>
      <c r="O1761" s="4"/>
      <c r="P1761" s="4"/>
      <c r="Q1761" s="11">
        <v>0</v>
      </c>
      <c r="R1761" s="4"/>
      <c r="S1761" s="12"/>
    </row>
    <row r="1762" spans="1:19" x14ac:dyDescent="0.25">
      <c r="A1762" s="9" t="s">
        <v>485</v>
      </c>
      <c r="B1762" s="9" t="s">
        <v>485</v>
      </c>
      <c r="C1762" s="4">
        <v>201003938</v>
      </c>
      <c r="D1762" s="4"/>
      <c r="E1762" s="4" t="str">
        <f>"078532010"</f>
        <v>078532010</v>
      </c>
      <c r="F1762" s="10">
        <v>40340</v>
      </c>
      <c r="G1762" s="11">
        <v>2943.68</v>
      </c>
      <c r="H1762" s="11">
        <v>2943.68</v>
      </c>
      <c r="I1762" s="4" t="s">
        <v>366</v>
      </c>
      <c r="J1762" s="4" t="s">
        <v>367</v>
      </c>
      <c r="K1762" s="11">
        <v>0</v>
      </c>
      <c r="L1762" s="4"/>
      <c r="M1762" s="4"/>
      <c r="N1762" s="11">
        <v>0</v>
      </c>
      <c r="O1762" s="4"/>
      <c r="P1762" s="4"/>
      <c r="Q1762" s="11">
        <v>0</v>
      </c>
      <c r="R1762" s="4"/>
      <c r="S1762" s="12"/>
    </row>
    <row r="1763" spans="1:19" x14ac:dyDescent="0.25">
      <c r="A1763" s="9" t="s">
        <v>485</v>
      </c>
      <c r="B1763" s="9" t="s">
        <v>485</v>
      </c>
      <c r="C1763" s="4">
        <v>201003941</v>
      </c>
      <c r="D1763" s="4"/>
      <c r="E1763" s="4" t="str">
        <f>"078822010"</f>
        <v>078822010</v>
      </c>
      <c r="F1763" s="10">
        <v>40340</v>
      </c>
      <c r="G1763" s="11">
        <v>3911.37</v>
      </c>
      <c r="H1763" s="11">
        <v>3911.37</v>
      </c>
      <c r="I1763" s="4" t="s">
        <v>366</v>
      </c>
      <c r="J1763" s="4" t="s">
        <v>367</v>
      </c>
      <c r="K1763" s="11">
        <v>0</v>
      </c>
      <c r="L1763" s="4"/>
      <c r="M1763" s="4"/>
      <c r="N1763" s="11">
        <v>0</v>
      </c>
      <c r="O1763" s="4"/>
      <c r="P1763" s="4"/>
      <c r="Q1763" s="11">
        <v>0</v>
      </c>
      <c r="R1763" s="4"/>
      <c r="S1763" s="12"/>
    </row>
    <row r="1764" spans="1:19" x14ac:dyDescent="0.25">
      <c r="A1764" s="9" t="s">
        <v>485</v>
      </c>
      <c r="B1764" s="9" t="s">
        <v>485</v>
      </c>
      <c r="C1764" s="4">
        <v>201003947</v>
      </c>
      <c r="D1764" s="4"/>
      <c r="E1764" s="4" t="str">
        <f>"079262010"</f>
        <v>079262010</v>
      </c>
      <c r="F1764" s="10">
        <v>40344</v>
      </c>
      <c r="G1764" s="11">
        <v>8247.44</v>
      </c>
      <c r="H1764" s="11">
        <v>8247.44</v>
      </c>
      <c r="I1764" s="4" t="s">
        <v>366</v>
      </c>
      <c r="J1764" s="4" t="s">
        <v>367</v>
      </c>
      <c r="K1764" s="11">
        <v>0</v>
      </c>
      <c r="L1764" s="4"/>
      <c r="M1764" s="4"/>
      <c r="N1764" s="11">
        <v>0</v>
      </c>
      <c r="O1764" s="4"/>
      <c r="P1764" s="4"/>
      <c r="Q1764" s="11">
        <v>0</v>
      </c>
      <c r="R1764" s="4"/>
      <c r="S1764" s="12"/>
    </row>
    <row r="1765" spans="1:19" x14ac:dyDescent="0.25">
      <c r="A1765" s="9" t="s">
        <v>485</v>
      </c>
      <c r="B1765" s="9" t="s">
        <v>485</v>
      </c>
      <c r="C1765" s="4">
        <v>201003949</v>
      </c>
      <c r="D1765" s="4"/>
      <c r="E1765" s="4" t="str">
        <f>"078922010"</f>
        <v>078922010</v>
      </c>
      <c r="F1765" s="10">
        <v>40340</v>
      </c>
      <c r="G1765" s="11">
        <v>4250.5</v>
      </c>
      <c r="H1765" s="11">
        <v>4250.5</v>
      </c>
      <c r="I1765" s="4" t="s">
        <v>366</v>
      </c>
      <c r="J1765" s="4" t="s">
        <v>367</v>
      </c>
      <c r="K1765" s="11">
        <v>0</v>
      </c>
      <c r="L1765" s="4"/>
      <c r="M1765" s="4"/>
      <c r="N1765" s="11">
        <v>0</v>
      </c>
      <c r="O1765" s="4"/>
      <c r="P1765" s="4"/>
      <c r="Q1765" s="11">
        <v>0</v>
      </c>
      <c r="R1765" s="4"/>
      <c r="S1765" s="12"/>
    </row>
    <row r="1766" spans="1:19" x14ac:dyDescent="0.25">
      <c r="A1766" s="9" t="s">
        <v>485</v>
      </c>
      <c r="B1766" s="9" t="s">
        <v>485</v>
      </c>
      <c r="C1766" s="4">
        <v>201003957</v>
      </c>
      <c r="D1766" s="4"/>
      <c r="E1766" s="4" t="str">
        <f>"079922010"</f>
        <v>079922010</v>
      </c>
      <c r="F1766" s="10">
        <v>40344</v>
      </c>
      <c r="G1766" s="11">
        <v>2546.4299999999998</v>
      </c>
      <c r="H1766" s="11">
        <v>2546.4299999999998</v>
      </c>
      <c r="I1766" s="4" t="s">
        <v>366</v>
      </c>
      <c r="J1766" s="4" t="s">
        <v>367</v>
      </c>
      <c r="K1766" s="11">
        <v>0</v>
      </c>
      <c r="L1766" s="4"/>
      <c r="M1766" s="4"/>
      <c r="N1766" s="11">
        <v>0</v>
      </c>
      <c r="O1766" s="4"/>
      <c r="P1766" s="4"/>
      <c r="Q1766" s="11">
        <v>0</v>
      </c>
      <c r="R1766" s="4"/>
      <c r="S1766" s="12"/>
    </row>
    <row r="1767" spans="1:19" x14ac:dyDescent="0.25">
      <c r="A1767" s="9" t="s">
        <v>485</v>
      </c>
      <c r="B1767" s="9" t="s">
        <v>485</v>
      </c>
      <c r="C1767" s="4">
        <v>201003960</v>
      </c>
      <c r="D1767" s="4"/>
      <c r="E1767" s="4" t="str">
        <f>"079862010"</f>
        <v>079862010</v>
      </c>
      <c r="F1767" s="10">
        <v>40344</v>
      </c>
      <c r="G1767" s="11">
        <v>5370.71</v>
      </c>
      <c r="H1767" s="11">
        <v>5370.71</v>
      </c>
      <c r="I1767" s="4" t="s">
        <v>366</v>
      </c>
      <c r="J1767" s="4" t="s">
        <v>367</v>
      </c>
      <c r="K1767" s="11">
        <v>0</v>
      </c>
      <c r="L1767" s="4"/>
      <c r="M1767" s="4"/>
      <c r="N1767" s="11">
        <v>0</v>
      </c>
      <c r="O1767" s="4"/>
      <c r="P1767" s="4"/>
      <c r="Q1767" s="11">
        <v>0</v>
      </c>
      <c r="R1767" s="4"/>
      <c r="S1767" s="12"/>
    </row>
    <row r="1768" spans="1:19" x14ac:dyDescent="0.25">
      <c r="A1768" s="9" t="s">
        <v>485</v>
      </c>
      <c r="B1768" s="9" t="s">
        <v>485</v>
      </c>
      <c r="C1768" s="4">
        <v>201003962</v>
      </c>
      <c r="D1768" s="4"/>
      <c r="E1768" s="4" t="str">
        <f>"078692010"</f>
        <v>078692010</v>
      </c>
      <c r="F1768" s="10">
        <v>40340</v>
      </c>
      <c r="G1768" s="11">
        <v>5602.04</v>
      </c>
      <c r="H1768" s="11">
        <v>5602.04</v>
      </c>
      <c r="I1768" s="4" t="s">
        <v>366</v>
      </c>
      <c r="J1768" s="4" t="s">
        <v>367</v>
      </c>
      <c r="K1768" s="11">
        <v>0</v>
      </c>
      <c r="L1768" s="4"/>
      <c r="M1768" s="4"/>
      <c r="N1768" s="11">
        <v>0</v>
      </c>
      <c r="O1768" s="4"/>
      <c r="P1768" s="4"/>
      <c r="Q1768" s="11">
        <v>0</v>
      </c>
      <c r="R1768" s="4"/>
      <c r="S1768" s="12"/>
    </row>
    <row r="1769" spans="1:19" x14ac:dyDescent="0.25">
      <c r="A1769" s="9" t="s">
        <v>485</v>
      </c>
      <c r="B1769" s="9" t="s">
        <v>485</v>
      </c>
      <c r="C1769" s="4">
        <v>201003968</v>
      </c>
      <c r="D1769" s="4"/>
      <c r="E1769" s="4" t="str">
        <f>"081342010"</f>
        <v>081342010</v>
      </c>
      <c r="F1769" s="10">
        <v>40345</v>
      </c>
      <c r="G1769" s="11">
        <v>10000</v>
      </c>
      <c r="H1769" s="11">
        <v>10000</v>
      </c>
      <c r="I1769" s="4" t="s">
        <v>687</v>
      </c>
      <c r="J1769" s="4" t="s">
        <v>688</v>
      </c>
      <c r="K1769" s="11">
        <v>0</v>
      </c>
      <c r="L1769" s="4"/>
      <c r="M1769" s="4"/>
      <c r="N1769" s="11">
        <v>0</v>
      </c>
      <c r="O1769" s="4"/>
      <c r="P1769" s="4"/>
      <c r="Q1769" s="11">
        <v>0</v>
      </c>
      <c r="R1769" s="4"/>
      <c r="S1769" s="12"/>
    </row>
    <row r="1770" spans="1:19" x14ac:dyDescent="0.25">
      <c r="A1770" s="9" t="s">
        <v>485</v>
      </c>
      <c r="B1770" s="9" t="s">
        <v>485</v>
      </c>
      <c r="C1770" s="4">
        <v>201003984</v>
      </c>
      <c r="D1770" s="4" t="s">
        <v>2105</v>
      </c>
      <c r="E1770" s="4" t="str">
        <f>"083702010"</f>
        <v>083702010</v>
      </c>
      <c r="F1770" s="10">
        <v>40357</v>
      </c>
      <c r="G1770" s="11">
        <v>12000</v>
      </c>
      <c r="H1770" s="11">
        <v>12000</v>
      </c>
      <c r="I1770" s="4" t="s">
        <v>366</v>
      </c>
      <c r="J1770" s="4" t="s">
        <v>367</v>
      </c>
      <c r="K1770" s="11">
        <v>0</v>
      </c>
      <c r="L1770" s="4"/>
      <c r="M1770" s="4"/>
      <c r="N1770" s="11">
        <v>0</v>
      </c>
      <c r="O1770" s="4"/>
      <c r="P1770" s="4"/>
      <c r="Q1770" s="11">
        <v>0</v>
      </c>
      <c r="R1770" s="4"/>
      <c r="S1770" s="12"/>
    </row>
    <row r="1771" spans="1:19" x14ac:dyDescent="0.25">
      <c r="A1771" s="9" t="s">
        <v>485</v>
      </c>
      <c r="B1771" s="9" t="s">
        <v>485</v>
      </c>
      <c r="C1771" s="4">
        <v>201003989</v>
      </c>
      <c r="D1771" s="4" t="s">
        <v>2106</v>
      </c>
      <c r="E1771" s="4" t="str">
        <f>"079942010"</f>
        <v>079942010</v>
      </c>
      <c r="F1771" s="10">
        <v>40346</v>
      </c>
      <c r="G1771" s="11">
        <v>5000</v>
      </c>
      <c r="H1771" s="11">
        <v>5000</v>
      </c>
      <c r="I1771" s="4" t="s">
        <v>366</v>
      </c>
      <c r="J1771" s="4" t="s">
        <v>367</v>
      </c>
      <c r="K1771" s="11">
        <v>0</v>
      </c>
      <c r="L1771" s="4"/>
      <c r="M1771" s="4"/>
      <c r="N1771" s="11">
        <v>0</v>
      </c>
      <c r="O1771" s="4"/>
      <c r="P1771" s="4"/>
      <c r="Q1771" s="11">
        <v>0</v>
      </c>
      <c r="R1771" s="4"/>
      <c r="S1771" s="12"/>
    </row>
    <row r="1772" spans="1:19" x14ac:dyDescent="0.25">
      <c r="A1772" s="9" t="s">
        <v>485</v>
      </c>
      <c r="B1772" s="9" t="s">
        <v>485</v>
      </c>
      <c r="C1772" s="4">
        <v>201003992</v>
      </c>
      <c r="D1772" s="4"/>
      <c r="E1772" s="4" t="str">
        <f>"079422010"</f>
        <v>079422010</v>
      </c>
      <c r="F1772" s="10">
        <v>40344</v>
      </c>
      <c r="G1772" s="11">
        <v>4500</v>
      </c>
      <c r="H1772" s="11">
        <v>4500</v>
      </c>
      <c r="I1772" s="4" t="s">
        <v>366</v>
      </c>
      <c r="J1772" s="4" t="s">
        <v>367</v>
      </c>
      <c r="K1772" s="11">
        <v>0</v>
      </c>
      <c r="L1772" s="4"/>
      <c r="M1772" s="4"/>
      <c r="N1772" s="11">
        <v>0</v>
      </c>
      <c r="O1772" s="4"/>
      <c r="P1772" s="4"/>
      <c r="Q1772" s="11">
        <v>0</v>
      </c>
      <c r="R1772" s="4"/>
      <c r="S1772" s="12"/>
    </row>
    <row r="1773" spans="1:19" x14ac:dyDescent="0.25">
      <c r="A1773" s="9" t="s">
        <v>485</v>
      </c>
      <c r="B1773" s="9" t="s">
        <v>485</v>
      </c>
      <c r="C1773" s="4">
        <v>201004003</v>
      </c>
      <c r="D1773" s="4" t="s">
        <v>2107</v>
      </c>
      <c r="E1773" s="4" t="str">
        <f>"079582010"</f>
        <v>079582010</v>
      </c>
      <c r="F1773" s="10">
        <v>40346</v>
      </c>
      <c r="G1773" s="11">
        <v>28254.98</v>
      </c>
      <c r="H1773" s="11">
        <v>28254.98</v>
      </c>
      <c r="I1773" s="4" t="s">
        <v>366</v>
      </c>
      <c r="J1773" s="4" t="s">
        <v>367</v>
      </c>
      <c r="K1773" s="11">
        <v>0</v>
      </c>
      <c r="L1773" s="4"/>
      <c r="M1773" s="4"/>
      <c r="N1773" s="11">
        <v>0</v>
      </c>
      <c r="O1773" s="4"/>
      <c r="P1773" s="4"/>
      <c r="Q1773" s="11">
        <v>0</v>
      </c>
      <c r="R1773" s="4"/>
      <c r="S1773" s="12"/>
    </row>
    <row r="1774" spans="1:19" x14ac:dyDescent="0.25">
      <c r="A1774" s="9" t="s">
        <v>485</v>
      </c>
      <c r="B1774" s="9" t="s">
        <v>485</v>
      </c>
      <c r="C1774" s="4">
        <v>201004019</v>
      </c>
      <c r="D1774" s="4"/>
      <c r="E1774" s="4" t="str">
        <f>"080162010"</f>
        <v>080162010</v>
      </c>
      <c r="F1774" s="10">
        <v>40346</v>
      </c>
      <c r="G1774" s="11">
        <v>5400</v>
      </c>
      <c r="H1774" s="11">
        <v>5400</v>
      </c>
      <c r="I1774" s="4" t="s">
        <v>366</v>
      </c>
      <c r="J1774" s="4" t="s">
        <v>367</v>
      </c>
      <c r="K1774" s="11">
        <v>0</v>
      </c>
      <c r="L1774" s="4"/>
      <c r="M1774" s="4"/>
      <c r="N1774" s="11">
        <v>0</v>
      </c>
      <c r="O1774" s="4"/>
      <c r="P1774" s="4"/>
      <c r="Q1774" s="11">
        <v>0</v>
      </c>
      <c r="R1774" s="4"/>
      <c r="S1774" s="12"/>
    </row>
    <row r="1775" spans="1:19" x14ac:dyDescent="0.25">
      <c r="A1775" s="9" t="s">
        <v>485</v>
      </c>
      <c r="B1775" s="9" t="s">
        <v>485</v>
      </c>
      <c r="C1775" s="4">
        <v>201004020</v>
      </c>
      <c r="D1775" s="4"/>
      <c r="E1775" s="4" t="str">
        <f>"081702010"</f>
        <v>081702010</v>
      </c>
      <c r="F1775" s="10">
        <v>40357</v>
      </c>
      <c r="G1775" s="11">
        <v>12814.61</v>
      </c>
      <c r="H1775" s="11">
        <v>12814.61</v>
      </c>
      <c r="I1775" s="4" t="s">
        <v>1980</v>
      </c>
      <c r="J1775" s="4" t="s">
        <v>1981</v>
      </c>
      <c r="K1775" s="11">
        <v>0</v>
      </c>
      <c r="L1775" s="4"/>
      <c r="M1775" s="4"/>
      <c r="N1775" s="11">
        <v>0</v>
      </c>
      <c r="O1775" s="4"/>
      <c r="P1775" s="4"/>
      <c r="Q1775" s="11">
        <v>0</v>
      </c>
      <c r="R1775" s="4"/>
      <c r="S1775" s="12"/>
    </row>
    <row r="1776" spans="1:19" x14ac:dyDescent="0.25">
      <c r="A1776" s="9" t="s">
        <v>485</v>
      </c>
      <c r="B1776" s="9" t="s">
        <v>485</v>
      </c>
      <c r="C1776" s="4">
        <v>201004025</v>
      </c>
      <c r="D1776" s="4"/>
      <c r="E1776" s="4" t="str">
        <f>"081382010"</f>
        <v>081382010</v>
      </c>
      <c r="F1776" s="10">
        <v>40345</v>
      </c>
      <c r="G1776" s="11">
        <v>250000</v>
      </c>
      <c r="H1776" s="11">
        <v>250000</v>
      </c>
      <c r="I1776" s="4" t="s">
        <v>1859</v>
      </c>
      <c r="J1776" s="4" t="s">
        <v>1860</v>
      </c>
      <c r="K1776" s="11">
        <v>0</v>
      </c>
      <c r="L1776" s="4"/>
      <c r="M1776" s="4"/>
      <c r="N1776" s="11">
        <v>0</v>
      </c>
      <c r="O1776" s="4"/>
      <c r="P1776" s="4"/>
      <c r="Q1776" s="11">
        <v>0</v>
      </c>
      <c r="R1776" s="4"/>
      <c r="S1776" s="12"/>
    </row>
    <row r="1777" spans="1:19" x14ac:dyDescent="0.25">
      <c r="A1777" s="9" t="s">
        <v>485</v>
      </c>
      <c r="B1777" s="9" t="s">
        <v>485</v>
      </c>
      <c r="C1777" s="4">
        <v>201004032</v>
      </c>
      <c r="D1777" s="4"/>
      <c r="E1777" s="4" t="str">
        <f>"080022010"</f>
        <v>080022010</v>
      </c>
      <c r="F1777" s="10">
        <v>40346</v>
      </c>
      <c r="G1777" s="11">
        <v>6863.8</v>
      </c>
      <c r="H1777" s="11">
        <v>6863.8</v>
      </c>
      <c r="I1777" s="4" t="s">
        <v>366</v>
      </c>
      <c r="J1777" s="4" t="s">
        <v>367</v>
      </c>
      <c r="K1777" s="11">
        <v>0</v>
      </c>
      <c r="L1777" s="4"/>
      <c r="M1777" s="4"/>
      <c r="N1777" s="11">
        <v>0</v>
      </c>
      <c r="O1777" s="4"/>
      <c r="P1777" s="4"/>
      <c r="Q1777" s="11">
        <v>0</v>
      </c>
      <c r="R1777" s="4"/>
      <c r="S1777" s="12"/>
    </row>
    <row r="1778" spans="1:19" x14ac:dyDescent="0.25">
      <c r="A1778" s="9" t="s">
        <v>485</v>
      </c>
      <c r="B1778" s="9" t="s">
        <v>485</v>
      </c>
      <c r="C1778" s="4">
        <v>201004051</v>
      </c>
      <c r="D1778" s="4"/>
      <c r="E1778" s="4" t="str">
        <f>"086982010"</f>
        <v>086982010</v>
      </c>
      <c r="F1778" s="10">
        <v>40358</v>
      </c>
      <c r="G1778" s="11">
        <v>8999.77</v>
      </c>
      <c r="H1778" s="11">
        <v>8999.77</v>
      </c>
      <c r="I1778" s="4" t="s">
        <v>366</v>
      </c>
      <c r="J1778" s="4" t="s">
        <v>367</v>
      </c>
      <c r="K1778" s="11">
        <v>0</v>
      </c>
      <c r="L1778" s="4"/>
      <c r="M1778" s="4"/>
      <c r="N1778" s="11">
        <v>0</v>
      </c>
      <c r="O1778" s="4"/>
      <c r="P1778" s="4"/>
      <c r="Q1778" s="11">
        <v>0</v>
      </c>
      <c r="R1778" s="4"/>
      <c r="S1778" s="12"/>
    </row>
    <row r="1779" spans="1:19" x14ac:dyDescent="0.25">
      <c r="A1779" s="9" t="s">
        <v>485</v>
      </c>
      <c r="B1779" s="9" t="s">
        <v>485</v>
      </c>
      <c r="C1779" s="4">
        <v>201004066</v>
      </c>
      <c r="D1779" s="4"/>
      <c r="E1779" s="4" t="str">
        <f>"080522010"</f>
        <v>080522010</v>
      </c>
      <c r="F1779" s="10">
        <v>40346</v>
      </c>
      <c r="G1779" s="11">
        <v>5265</v>
      </c>
      <c r="H1779" s="11">
        <v>5265</v>
      </c>
      <c r="I1779" s="4" t="s">
        <v>366</v>
      </c>
      <c r="J1779" s="4" t="s">
        <v>367</v>
      </c>
      <c r="K1779" s="11">
        <v>0</v>
      </c>
      <c r="L1779" s="4"/>
      <c r="M1779" s="4"/>
      <c r="N1779" s="11">
        <v>0</v>
      </c>
      <c r="O1779" s="4"/>
      <c r="P1779" s="4"/>
      <c r="Q1779" s="11">
        <v>0</v>
      </c>
      <c r="R1779" s="4"/>
      <c r="S1779" s="12"/>
    </row>
    <row r="1780" spans="1:19" x14ac:dyDescent="0.25">
      <c r="A1780" s="9" t="s">
        <v>485</v>
      </c>
      <c r="B1780" s="9" t="s">
        <v>485</v>
      </c>
      <c r="C1780" s="4">
        <v>201004106</v>
      </c>
      <c r="D1780" s="4"/>
      <c r="E1780" s="4" t="str">
        <f>"080882010"</f>
        <v>080882010</v>
      </c>
      <c r="F1780" s="10">
        <v>40346</v>
      </c>
      <c r="G1780" s="11">
        <v>2601.48</v>
      </c>
      <c r="H1780" s="11">
        <v>2601.48</v>
      </c>
      <c r="I1780" s="4" t="s">
        <v>366</v>
      </c>
      <c r="J1780" s="4" t="s">
        <v>367</v>
      </c>
      <c r="K1780" s="11">
        <v>0</v>
      </c>
      <c r="L1780" s="4"/>
      <c r="M1780" s="4"/>
      <c r="N1780" s="11">
        <v>0</v>
      </c>
      <c r="O1780" s="4"/>
      <c r="P1780" s="4"/>
      <c r="Q1780" s="11">
        <v>0</v>
      </c>
      <c r="R1780" s="4"/>
      <c r="S1780" s="12"/>
    </row>
    <row r="1781" spans="1:19" x14ac:dyDescent="0.25">
      <c r="A1781" s="9" t="s">
        <v>485</v>
      </c>
      <c r="B1781" s="9" t="s">
        <v>485</v>
      </c>
      <c r="C1781" s="4">
        <v>201004110</v>
      </c>
      <c r="D1781" s="4" t="s">
        <v>2108</v>
      </c>
      <c r="E1781" s="4" t="str">
        <f>"080662010"</f>
        <v>080662010</v>
      </c>
      <c r="F1781" s="10">
        <v>40346</v>
      </c>
      <c r="G1781" s="11">
        <v>15000</v>
      </c>
      <c r="H1781" s="11">
        <v>15000</v>
      </c>
      <c r="I1781" s="4" t="s">
        <v>366</v>
      </c>
      <c r="J1781" s="4" t="s">
        <v>367</v>
      </c>
      <c r="K1781" s="11">
        <v>0</v>
      </c>
      <c r="L1781" s="4"/>
      <c r="M1781" s="4"/>
      <c r="N1781" s="11">
        <v>0</v>
      </c>
      <c r="O1781" s="4"/>
      <c r="P1781" s="4"/>
      <c r="Q1781" s="11">
        <v>0</v>
      </c>
      <c r="R1781" s="4"/>
      <c r="S1781" s="12"/>
    </row>
    <row r="1782" spans="1:19" x14ac:dyDescent="0.25">
      <c r="A1782" s="9" t="s">
        <v>485</v>
      </c>
      <c r="B1782" s="9" t="s">
        <v>485</v>
      </c>
      <c r="C1782" s="4">
        <v>201004116</v>
      </c>
      <c r="D1782" s="4" t="s">
        <v>2109</v>
      </c>
      <c r="E1782" s="4" t="str">
        <f>"083382010"</f>
        <v>083382010</v>
      </c>
      <c r="F1782" s="10">
        <v>40352</v>
      </c>
      <c r="G1782" s="11">
        <v>26000</v>
      </c>
      <c r="H1782" s="11">
        <v>26000</v>
      </c>
      <c r="I1782" s="4" t="s">
        <v>366</v>
      </c>
      <c r="J1782" s="4" t="s">
        <v>367</v>
      </c>
      <c r="K1782" s="11">
        <v>0</v>
      </c>
      <c r="L1782" s="4"/>
      <c r="M1782" s="4"/>
      <c r="N1782" s="11">
        <v>0</v>
      </c>
      <c r="O1782" s="4"/>
      <c r="P1782" s="4"/>
      <c r="Q1782" s="11">
        <v>0</v>
      </c>
      <c r="R1782" s="4"/>
      <c r="S1782" s="12"/>
    </row>
    <row r="1783" spans="1:19" x14ac:dyDescent="0.25">
      <c r="A1783" s="9" t="s">
        <v>485</v>
      </c>
      <c r="B1783" s="9" t="s">
        <v>485</v>
      </c>
      <c r="C1783" s="4">
        <v>201004117</v>
      </c>
      <c r="D1783" s="4" t="s">
        <v>2109</v>
      </c>
      <c r="E1783" s="4" t="str">
        <f>"083722010"</f>
        <v>083722010</v>
      </c>
      <c r="F1783" s="10">
        <v>40357</v>
      </c>
      <c r="G1783" s="11">
        <v>7000</v>
      </c>
      <c r="H1783" s="11">
        <v>7000</v>
      </c>
      <c r="I1783" s="4" t="s">
        <v>366</v>
      </c>
      <c r="J1783" s="4" t="s">
        <v>367</v>
      </c>
      <c r="K1783" s="11">
        <v>0</v>
      </c>
      <c r="L1783" s="4"/>
      <c r="M1783" s="4"/>
      <c r="N1783" s="11">
        <v>0</v>
      </c>
      <c r="O1783" s="4"/>
      <c r="P1783" s="4"/>
      <c r="Q1783" s="11">
        <v>0</v>
      </c>
      <c r="R1783" s="4"/>
      <c r="S1783" s="12"/>
    </row>
    <row r="1784" spans="1:19" x14ac:dyDescent="0.25">
      <c r="A1784" s="9" t="s">
        <v>485</v>
      </c>
      <c r="B1784" s="9" t="s">
        <v>485</v>
      </c>
      <c r="C1784" s="4">
        <v>201004120</v>
      </c>
      <c r="D1784" s="4"/>
      <c r="E1784" s="4" t="str">
        <f>"081202010"</f>
        <v>081202010</v>
      </c>
      <c r="F1784" s="10">
        <v>40345</v>
      </c>
      <c r="G1784" s="11">
        <v>6826.66</v>
      </c>
      <c r="H1784" s="11">
        <v>6826.66</v>
      </c>
      <c r="I1784" s="4" t="s">
        <v>366</v>
      </c>
      <c r="J1784" s="4" t="s">
        <v>367</v>
      </c>
      <c r="K1784" s="11">
        <v>0</v>
      </c>
      <c r="L1784" s="4"/>
      <c r="M1784" s="4"/>
      <c r="N1784" s="11">
        <v>0</v>
      </c>
      <c r="O1784" s="4"/>
      <c r="P1784" s="4"/>
      <c r="Q1784" s="11">
        <v>0</v>
      </c>
      <c r="R1784" s="4"/>
      <c r="S1784" s="12"/>
    </row>
    <row r="1785" spans="1:19" x14ac:dyDescent="0.25">
      <c r="A1785" s="9" t="s">
        <v>485</v>
      </c>
      <c r="B1785" s="9" t="s">
        <v>485</v>
      </c>
      <c r="C1785" s="4">
        <v>201004127</v>
      </c>
      <c r="D1785" s="4"/>
      <c r="E1785" s="4" t="str">
        <f>"081482010"</f>
        <v>081482010</v>
      </c>
      <c r="F1785" s="10">
        <v>40353</v>
      </c>
      <c r="G1785" s="11">
        <v>3647.49</v>
      </c>
      <c r="H1785" s="11">
        <v>3647.49</v>
      </c>
      <c r="I1785" s="4" t="s">
        <v>366</v>
      </c>
      <c r="J1785" s="4" t="s">
        <v>367</v>
      </c>
      <c r="K1785" s="11">
        <v>0</v>
      </c>
      <c r="L1785" s="4"/>
      <c r="M1785" s="4"/>
      <c r="N1785" s="11">
        <v>0</v>
      </c>
      <c r="O1785" s="4"/>
      <c r="P1785" s="4"/>
      <c r="Q1785" s="11">
        <v>0</v>
      </c>
      <c r="R1785" s="4"/>
      <c r="S1785" s="12"/>
    </row>
    <row r="1786" spans="1:19" x14ac:dyDescent="0.25">
      <c r="A1786" s="9" t="s">
        <v>485</v>
      </c>
      <c r="B1786" s="9" t="s">
        <v>485</v>
      </c>
      <c r="C1786" s="4">
        <v>201004129</v>
      </c>
      <c r="D1786" s="4"/>
      <c r="E1786" s="4" t="str">
        <f>"081602010"</f>
        <v>081602010</v>
      </c>
      <c r="F1786" s="10">
        <v>40353</v>
      </c>
      <c r="G1786" s="11">
        <v>5213</v>
      </c>
      <c r="H1786" s="11">
        <v>5213</v>
      </c>
      <c r="I1786" s="4" t="s">
        <v>366</v>
      </c>
      <c r="J1786" s="4" t="s">
        <v>367</v>
      </c>
      <c r="K1786" s="11">
        <v>0</v>
      </c>
      <c r="L1786" s="4"/>
      <c r="M1786" s="4"/>
      <c r="N1786" s="11">
        <v>0</v>
      </c>
      <c r="O1786" s="4"/>
      <c r="P1786" s="4"/>
      <c r="Q1786" s="11">
        <v>0</v>
      </c>
      <c r="R1786" s="4"/>
      <c r="S1786" s="12"/>
    </row>
    <row r="1787" spans="1:19" x14ac:dyDescent="0.25">
      <c r="A1787" s="9" t="s">
        <v>485</v>
      </c>
      <c r="B1787" s="9" t="s">
        <v>485</v>
      </c>
      <c r="C1787" s="4">
        <v>201004131</v>
      </c>
      <c r="D1787" s="4"/>
      <c r="E1787" s="4" t="str">
        <f>"081862010"</f>
        <v>081862010</v>
      </c>
      <c r="F1787" s="10">
        <v>40347</v>
      </c>
      <c r="G1787" s="11">
        <v>9567.8700000000008</v>
      </c>
      <c r="H1787" s="11">
        <v>9567.8700000000008</v>
      </c>
      <c r="I1787" s="4" t="s">
        <v>366</v>
      </c>
      <c r="J1787" s="4" t="s">
        <v>367</v>
      </c>
      <c r="K1787" s="11">
        <v>0</v>
      </c>
      <c r="L1787" s="4"/>
      <c r="M1787" s="4"/>
      <c r="N1787" s="11">
        <v>0</v>
      </c>
      <c r="O1787" s="4"/>
      <c r="P1787" s="4"/>
      <c r="Q1787" s="11">
        <v>0</v>
      </c>
      <c r="R1787" s="4"/>
      <c r="S1787" s="12"/>
    </row>
    <row r="1788" spans="1:19" x14ac:dyDescent="0.25">
      <c r="A1788" s="9" t="s">
        <v>485</v>
      </c>
      <c r="B1788" s="9" t="s">
        <v>485</v>
      </c>
      <c r="C1788" s="4">
        <v>201004154</v>
      </c>
      <c r="D1788" s="4"/>
      <c r="E1788" s="4" t="str">
        <f>"083902010"</f>
        <v>083902010</v>
      </c>
      <c r="F1788" s="10">
        <v>40354</v>
      </c>
      <c r="G1788" s="11">
        <v>250000</v>
      </c>
      <c r="H1788" s="11">
        <v>250000</v>
      </c>
      <c r="I1788" s="4" t="s">
        <v>687</v>
      </c>
      <c r="J1788" s="4" t="s">
        <v>688</v>
      </c>
      <c r="K1788" s="11">
        <v>0</v>
      </c>
      <c r="L1788" s="4"/>
      <c r="M1788" s="4"/>
      <c r="N1788" s="11">
        <v>0</v>
      </c>
      <c r="O1788" s="4"/>
      <c r="P1788" s="4"/>
      <c r="Q1788" s="11">
        <v>0</v>
      </c>
      <c r="R1788" s="4"/>
      <c r="S1788" s="12"/>
    </row>
    <row r="1789" spans="1:19" x14ac:dyDescent="0.25">
      <c r="A1789" s="9" t="s">
        <v>485</v>
      </c>
      <c r="B1789" s="9" t="s">
        <v>485</v>
      </c>
      <c r="C1789" s="4">
        <v>201004163</v>
      </c>
      <c r="D1789" s="4"/>
      <c r="E1789" s="4" t="str">
        <f>"083132010"</f>
        <v>083132010</v>
      </c>
      <c r="F1789" s="10">
        <v>40354</v>
      </c>
      <c r="G1789" s="11">
        <v>3783.92</v>
      </c>
      <c r="H1789" s="11">
        <v>3783.92</v>
      </c>
      <c r="I1789" s="4" t="s">
        <v>366</v>
      </c>
      <c r="J1789" s="4" t="s">
        <v>367</v>
      </c>
      <c r="K1789" s="11">
        <v>0</v>
      </c>
      <c r="L1789" s="4"/>
      <c r="M1789" s="4"/>
      <c r="N1789" s="11">
        <v>0</v>
      </c>
      <c r="O1789" s="4"/>
      <c r="P1789" s="4"/>
      <c r="Q1789" s="11">
        <v>0</v>
      </c>
      <c r="R1789" s="4"/>
      <c r="S1789" s="12"/>
    </row>
    <row r="1790" spans="1:19" x14ac:dyDescent="0.25">
      <c r="A1790" s="9" t="s">
        <v>485</v>
      </c>
      <c r="B1790" s="9" t="s">
        <v>485</v>
      </c>
      <c r="C1790" s="4">
        <v>201004190</v>
      </c>
      <c r="D1790" s="4"/>
      <c r="E1790" s="4" t="str">
        <f>"083152010"</f>
        <v>083152010</v>
      </c>
      <c r="F1790" s="10">
        <v>40347</v>
      </c>
      <c r="G1790" s="11">
        <v>2971.45</v>
      </c>
      <c r="H1790" s="11">
        <v>2971.45</v>
      </c>
      <c r="I1790" s="4" t="s">
        <v>366</v>
      </c>
      <c r="J1790" s="4" t="s">
        <v>367</v>
      </c>
      <c r="K1790" s="11">
        <v>0</v>
      </c>
      <c r="L1790" s="4"/>
      <c r="M1790" s="4"/>
      <c r="N1790" s="11">
        <v>0</v>
      </c>
      <c r="O1790" s="4"/>
      <c r="P1790" s="4"/>
      <c r="Q1790" s="11">
        <v>0</v>
      </c>
      <c r="R1790" s="4"/>
      <c r="S1790" s="12"/>
    </row>
    <row r="1791" spans="1:19" x14ac:dyDescent="0.25">
      <c r="A1791" s="9" t="s">
        <v>485</v>
      </c>
      <c r="B1791" s="9" t="s">
        <v>485</v>
      </c>
      <c r="C1791" s="4">
        <v>201004193</v>
      </c>
      <c r="D1791" s="4"/>
      <c r="E1791" s="4" t="str">
        <f>"083172010"</f>
        <v>083172010</v>
      </c>
      <c r="F1791" s="10">
        <v>40347</v>
      </c>
      <c r="G1791" s="11">
        <v>6238.12</v>
      </c>
      <c r="H1791" s="11">
        <v>6238.12</v>
      </c>
      <c r="I1791" s="4" t="s">
        <v>366</v>
      </c>
      <c r="J1791" s="4" t="s">
        <v>367</v>
      </c>
      <c r="K1791" s="11">
        <v>0</v>
      </c>
      <c r="L1791" s="4"/>
      <c r="M1791" s="4"/>
      <c r="N1791" s="11">
        <v>0</v>
      </c>
      <c r="O1791" s="4"/>
      <c r="P1791" s="4"/>
      <c r="Q1791" s="11">
        <v>0</v>
      </c>
      <c r="R1791" s="4"/>
      <c r="S1791" s="12"/>
    </row>
    <row r="1792" spans="1:19" x14ac:dyDescent="0.25">
      <c r="A1792" s="9" t="s">
        <v>485</v>
      </c>
      <c r="B1792" s="9" t="s">
        <v>485</v>
      </c>
      <c r="C1792" s="4">
        <v>201004197</v>
      </c>
      <c r="D1792" s="4"/>
      <c r="E1792" s="4" t="str">
        <f>"083192010"</f>
        <v>083192010</v>
      </c>
      <c r="F1792" s="10">
        <v>40347</v>
      </c>
      <c r="G1792" s="11">
        <v>12065.28</v>
      </c>
      <c r="H1792" s="11">
        <v>12065.28</v>
      </c>
      <c r="I1792" s="4" t="s">
        <v>366</v>
      </c>
      <c r="J1792" s="4" t="s">
        <v>367</v>
      </c>
      <c r="K1792" s="11">
        <v>0</v>
      </c>
      <c r="L1792" s="4"/>
      <c r="M1792" s="4"/>
      <c r="N1792" s="11">
        <v>0</v>
      </c>
      <c r="O1792" s="4"/>
      <c r="P1792" s="4"/>
      <c r="Q1792" s="11">
        <v>0</v>
      </c>
      <c r="R1792" s="4"/>
      <c r="S1792" s="12"/>
    </row>
    <row r="1793" spans="1:19" x14ac:dyDescent="0.25">
      <c r="A1793" s="9" t="s">
        <v>485</v>
      </c>
      <c r="B1793" s="9" t="s">
        <v>485</v>
      </c>
      <c r="C1793" s="4">
        <v>201004200</v>
      </c>
      <c r="D1793" s="4" t="s">
        <v>2534</v>
      </c>
      <c r="E1793" s="4" t="str">
        <f>"083782010"</f>
        <v>083782010</v>
      </c>
      <c r="F1793" s="10">
        <v>40358</v>
      </c>
      <c r="G1793" s="11">
        <v>28887.13</v>
      </c>
      <c r="H1793" s="11">
        <v>23109.7</v>
      </c>
      <c r="I1793" s="4" t="s">
        <v>366</v>
      </c>
      <c r="J1793" s="4" t="s">
        <v>367</v>
      </c>
      <c r="K1793" s="11">
        <v>5777.43</v>
      </c>
      <c r="L1793" s="4" t="s">
        <v>366</v>
      </c>
      <c r="M1793" s="4" t="s">
        <v>367</v>
      </c>
      <c r="N1793" s="11">
        <v>0</v>
      </c>
      <c r="O1793" s="4"/>
      <c r="P1793" s="4"/>
      <c r="Q1793" s="11">
        <v>0</v>
      </c>
      <c r="R1793" s="4"/>
      <c r="S1793" s="12"/>
    </row>
    <row r="1794" spans="1:19" x14ac:dyDescent="0.25">
      <c r="A1794" s="9" t="s">
        <v>485</v>
      </c>
      <c r="B1794" s="9" t="s">
        <v>485</v>
      </c>
      <c r="C1794" s="4">
        <v>201004214</v>
      </c>
      <c r="D1794" s="4"/>
      <c r="E1794" s="4" t="str">
        <f>"083562010"</f>
        <v>083562010</v>
      </c>
      <c r="F1794" s="10">
        <v>40352</v>
      </c>
      <c r="G1794" s="11">
        <v>6118.65</v>
      </c>
      <c r="H1794" s="11">
        <v>6118.65</v>
      </c>
      <c r="I1794" s="4" t="s">
        <v>366</v>
      </c>
      <c r="J1794" s="4" t="s">
        <v>367</v>
      </c>
      <c r="K1794" s="11">
        <v>0</v>
      </c>
      <c r="L1794" s="4"/>
      <c r="M1794" s="4"/>
      <c r="N1794" s="11">
        <v>0</v>
      </c>
      <c r="O1794" s="4"/>
      <c r="P1794" s="4"/>
      <c r="Q1794" s="11">
        <v>0</v>
      </c>
      <c r="R1794" s="4"/>
      <c r="S1794" s="12"/>
    </row>
    <row r="1795" spans="1:19" x14ac:dyDescent="0.25">
      <c r="A1795" s="9" t="s">
        <v>485</v>
      </c>
      <c r="B1795" s="9" t="s">
        <v>485</v>
      </c>
      <c r="C1795" s="4">
        <v>201004218</v>
      </c>
      <c r="D1795" s="4"/>
      <c r="E1795" s="4" t="str">
        <f>"083622010"</f>
        <v>083622010</v>
      </c>
      <c r="F1795" s="10">
        <v>40352</v>
      </c>
      <c r="G1795" s="11">
        <v>2561.0100000000002</v>
      </c>
      <c r="H1795" s="11">
        <v>2561.0100000000002</v>
      </c>
      <c r="I1795" s="4" t="s">
        <v>366</v>
      </c>
      <c r="J1795" s="4" t="s">
        <v>367</v>
      </c>
      <c r="K1795" s="11">
        <v>0</v>
      </c>
      <c r="L1795" s="4"/>
      <c r="M1795" s="4"/>
      <c r="N1795" s="11">
        <v>0</v>
      </c>
      <c r="O1795" s="4"/>
      <c r="P1795" s="4"/>
      <c r="Q1795" s="11">
        <v>0</v>
      </c>
      <c r="R1795" s="4"/>
      <c r="S1795" s="12"/>
    </row>
    <row r="1796" spans="1:19" x14ac:dyDescent="0.25">
      <c r="A1796" s="9" t="s">
        <v>485</v>
      </c>
      <c r="B1796" s="9" t="s">
        <v>485</v>
      </c>
      <c r="C1796" s="4">
        <v>201004220</v>
      </c>
      <c r="D1796" s="4"/>
      <c r="E1796" s="4" t="str">
        <f>"083642010"</f>
        <v>083642010</v>
      </c>
      <c r="F1796" s="10">
        <v>40352</v>
      </c>
      <c r="G1796" s="11">
        <v>3308.33</v>
      </c>
      <c r="H1796" s="11">
        <v>3308.33</v>
      </c>
      <c r="I1796" s="4" t="s">
        <v>366</v>
      </c>
      <c r="J1796" s="4" t="s">
        <v>367</v>
      </c>
      <c r="K1796" s="11">
        <v>0</v>
      </c>
      <c r="L1796" s="4"/>
      <c r="M1796" s="4"/>
      <c r="N1796" s="11">
        <v>0</v>
      </c>
      <c r="O1796" s="4"/>
      <c r="P1796" s="4"/>
      <c r="Q1796" s="11">
        <v>0</v>
      </c>
      <c r="R1796" s="4"/>
      <c r="S1796" s="12"/>
    </row>
    <row r="1797" spans="1:19" x14ac:dyDescent="0.25">
      <c r="A1797" s="9" t="s">
        <v>485</v>
      </c>
      <c r="B1797" s="9" t="s">
        <v>485</v>
      </c>
      <c r="C1797" s="4">
        <v>201004272</v>
      </c>
      <c r="D1797" s="4"/>
      <c r="E1797" s="4" t="str">
        <f>"084842010"</f>
        <v>084842010</v>
      </c>
      <c r="F1797" s="10">
        <v>40357</v>
      </c>
      <c r="G1797" s="11">
        <v>3850</v>
      </c>
      <c r="H1797" s="11">
        <v>3850</v>
      </c>
      <c r="I1797" s="4" t="s">
        <v>366</v>
      </c>
      <c r="J1797" s="4" t="s">
        <v>367</v>
      </c>
      <c r="K1797" s="11">
        <v>0</v>
      </c>
      <c r="L1797" s="4"/>
      <c r="M1797" s="4"/>
      <c r="N1797" s="11">
        <v>0</v>
      </c>
      <c r="O1797" s="4"/>
      <c r="P1797" s="4"/>
      <c r="Q1797" s="11">
        <v>0</v>
      </c>
      <c r="R1797" s="4"/>
      <c r="S1797" s="12"/>
    </row>
    <row r="1798" spans="1:19" x14ac:dyDescent="0.25">
      <c r="A1798" s="9" t="s">
        <v>485</v>
      </c>
      <c r="B1798" s="9" t="s">
        <v>485</v>
      </c>
      <c r="C1798" s="4">
        <v>201004283</v>
      </c>
      <c r="D1798" s="4"/>
      <c r="E1798" s="4" t="str">
        <f>"085642010"</f>
        <v>085642010</v>
      </c>
      <c r="F1798" s="10">
        <v>40357</v>
      </c>
      <c r="G1798" s="11">
        <v>5479.84</v>
      </c>
      <c r="H1798" s="11">
        <v>5479.84</v>
      </c>
      <c r="I1798" s="4" t="s">
        <v>54</v>
      </c>
      <c r="J1798" s="4" t="s">
        <v>55</v>
      </c>
      <c r="K1798" s="11">
        <v>0</v>
      </c>
      <c r="L1798" s="4"/>
      <c r="M1798" s="4"/>
      <c r="N1798" s="11">
        <v>0</v>
      </c>
      <c r="O1798" s="4"/>
      <c r="P1798" s="4"/>
      <c r="Q1798" s="11">
        <v>0</v>
      </c>
      <c r="R1798" s="4"/>
      <c r="S1798" s="12"/>
    </row>
    <row r="1799" spans="1:19" x14ac:dyDescent="0.25">
      <c r="A1799" s="9" t="s">
        <v>485</v>
      </c>
      <c r="B1799" s="9" t="s">
        <v>485</v>
      </c>
      <c r="C1799" s="4">
        <v>201004294</v>
      </c>
      <c r="D1799" s="4"/>
      <c r="E1799" s="4" t="str">
        <f>"085302010"</f>
        <v>085302010</v>
      </c>
      <c r="F1799" s="10">
        <v>40353</v>
      </c>
      <c r="G1799" s="11">
        <v>3772.45</v>
      </c>
      <c r="H1799" s="11">
        <v>3772.45</v>
      </c>
      <c r="I1799" s="4" t="s">
        <v>366</v>
      </c>
      <c r="J1799" s="4" t="s">
        <v>367</v>
      </c>
      <c r="K1799" s="11">
        <v>0</v>
      </c>
      <c r="L1799" s="4"/>
      <c r="M1799" s="4"/>
      <c r="N1799" s="11">
        <v>0</v>
      </c>
      <c r="O1799" s="4"/>
      <c r="P1799" s="4"/>
      <c r="Q1799" s="11">
        <v>0</v>
      </c>
      <c r="R1799" s="4"/>
      <c r="S1799" s="12"/>
    </row>
    <row r="1800" spans="1:19" x14ac:dyDescent="0.25">
      <c r="A1800" s="9" t="s">
        <v>485</v>
      </c>
      <c r="B1800" s="9" t="s">
        <v>485</v>
      </c>
      <c r="C1800" s="4">
        <v>201004305</v>
      </c>
      <c r="D1800" s="4"/>
      <c r="E1800" s="4" t="str">
        <f>"085882010"</f>
        <v>085882010</v>
      </c>
      <c r="F1800" s="10">
        <v>40357</v>
      </c>
      <c r="G1800" s="11">
        <v>2963.83</v>
      </c>
      <c r="H1800" s="11">
        <v>2963.83</v>
      </c>
      <c r="I1800" s="4" t="s">
        <v>366</v>
      </c>
      <c r="J1800" s="4" t="s">
        <v>367</v>
      </c>
      <c r="K1800" s="11">
        <v>0</v>
      </c>
      <c r="L1800" s="4"/>
      <c r="M1800" s="4"/>
      <c r="N1800" s="11">
        <v>0</v>
      </c>
      <c r="O1800" s="4"/>
      <c r="P1800" s="4"/>
      <c r="Q1800" s="11">
        <v>0</v>
      </c>
      <c r="R1800" s="4"/>
      <c r="S1800" s="12"/>
    </row>
    <row r="1801" spans="1:19" x14ac:dyDescent="0.25">
      <c r="A1801" s="9" t="s">
        <v>485</v>
      </c>
      <c r="B1801" s="9" t="s">
        <v>485</v>
      </c>
      <c r="C1801" s="4">
        <v>201004320</v>
      </c>
      <c r="D1801" s="4"/>
      <c r="E1801" s="4" t="str">
        <f>"085972010"</f>
        <v>085972010</v>
      </c>
      <c r="F1801" s="10">
        <v>40357</v>
      </c>
      <c r="G1801" s="11">
        <v>2600</v>
      </c>
      <c r="H1801" s="11">
        <v>2600</v>
      </c>
      <c r="I1801" s="4" t="s">
        <v>366</v>
      </c>
      <c r="J1801" s="4" t="s">
        <v>367</v>
      </c>
      <c r="K1801" s="11">
        <v>0</v>
      </c>
      <c r="L1801" s="4"/>
      <c r="M1801" s="4"/>
      <c r="N1801" s="11">
        <v>0</v>
      </c>
      <c r="O1801" s="4"/>
      <c r="P1801" s="4"/>
      <c r="Q1801" s="11">
        <v>0</v>
      </c>
      <c r="R1801" s="4"/>
      <c r="S1801" s="12"/>
    </row>
    <row r="1802" spans="1:19" x14ac:dyDescent="0.25">
      <c r="A1802" s="9" t="s">
        <v>485</v>
      </c>
      <c r="B1802" s="9" t="s">
        <v>485</v>
      </c>
      <c r="C1802" s="4">
        <v>201004325</v>
      </c>
      <c r="D1802" s="4" t="s">
        <v>2110</v>
      </c>
      <c r="E1802" s="4" t="str">
        <f>"088362010"</f>
        <v>088362010</v>
      </c>
      <c r="F1802" s="10">
        <v>40367</v>
      </c>
      <c r="G1802" s="11">
        <v>11000</v>
      </c>
      <c r="H1802" s="11">
        <v>11000</v>
      </c>
      <c r="I1802" s="4" t="s">
        <v>366</v>
      </c>
      <c r="J1802" s="4" t="s">
        <v>367</v>
      </c>
      <c r="K1802" s="11">
        <v>0</v>
      </c>
      <c r="L1802" s="4"/>
      <c r="M1802" s="4"/>
      <c r="N1802" s="11">
        <v>0</v>
      </c>
      <c r="O1802" s="4"/>
      <c r="P1802" s="4"/>
      <c r="Q1802" s="11">
        <v>0</v>
      </c>
      <c r="R1802" s="4"/>
      <c r="S1802" s="12"/>
    </row>
    <row r="1803" spans="1:19" x14ac:dyDescent="0.25">
      <c r="A1803" s="9" t="s">
        <v>485</v>
      </c>
      <c r="B1803" s="9" t="s">
        <v>485</v>
      </c>
      <c r="C1803" s="4">
        <v>201004337</v>
      </c>
      <c r="D1803" s="4" t="s">
        <v>2110</v>
      </c>
      <c r="E1803" s="4" t="str">
        <f>"088142010"</f>
        <v>088142010</v>
      </c>
      <c r="F1803" s="10">
        <v>40367</v>
      </c>
      <c r="G1803" s="11">
        <v>14000</v>
      </c>
      <c r="H1803" s="11">
        <v>14000</v>
      </c>
      <c r="I1803" s="4" t="s">
        <v>366</v>
      </c>
      <c r="J1803" s="4" t="s">
        <v>367</v>
      </c>
      <c r="K1803" s="11">
        <v>0</v>
      </c>
      <c r="L1803" s="4"/>
      <c r="M1803" s="4"/>
      <c r="N1803" s="11">
        <v>0</v>
      </c>
      <c r="O1803" s="4"/>
      <c r="P1803" s="4"/>
      <c r="Q1803" s="11">
        <v>0</v>
      </c>
      <c r="R1803" s="4"/>
      <c r="S1803" s="12"/>
    </row>
    <row r="1804" spans="1:19" x14ac:dyDescent="0.25">
      <c r="A1804" s="9" t="s">
        <v>485</v>
      </c>
      <c r="B1804" s="9" t="s">
        <v>485</v>
      </c>
      <c r="C1804" s="4">
        <v>201004338</v>
      </c>
      <c r="D1804" s="4"/>
      <c r="E1804" s="4" t="str">
        <f>"087342010"</f>
        <v>087342010</v>
      </c>
      <c r="F1804" s="10">
        <v>40358</v>
      </c>
      <c r="G1804" s="11">
        <v>6990</v>
      </c>
      <c r="H1804" s="11">
        <v>6990</v>
      </c>
      <c r="I1804" s="4" t="s">
        <v>1752</v>
      </c>
      <c r="J1804" s="4" t="s">
        <v>1753</v>
      </c>
      <c r="K1804" s="11">
        <v>0</v>
      </c>
      <c r="L1804" s="4"/>
      <c r="M1804" s="4"/>
      <c r="N1804" s="11">
        <v>0</v>
      </c>
      <c r="O1804" s="4"/>
      <c r="P1804" s="4"/>
      <c r="Q1804" s="11">
        <v>0</v>
      </c>
      <c r="R1804" s="4"/>
      <c r="S1804" s="12"/>
    </row>
    <row r="1805" spans="1:19" x14ac:dyDescent="0.25">
      <c r="A1805" s="9" t="s">
        <v>485</v>
      </c>
      <c r="B1805" s="9" t="s">
        <v>485</v>
      </c>
      <c r="C1805" s="4">
        <v>201004344</v>
      </c>
      <c r="D1805" s="4" t="s">
        <v>2534</v>
      </c>
      <c r="E1805" s="4" t="str">
        <f>"088042010"</f>
        <v>088042010</v>
      </c>
      <c r="F1805" s="10">
        <v>40367</v>
      </c>
      <c r="G1805" s="11">
        <v>6500</v>
      </c>
      <c r="H1805" s="11">
        <v>5200</v>
      </c>
      <c r="I1805" s="4" t="s">
        <v>366</v>
      </c>
      <c r="J1805" s="4" t="s">
        <v>367</v>
      </c>
      <c r="K1805" s="11">
        <v>1300</v>
      </c>
      <c r="L1805" s="4" t="s">
        <v>366</v>
      </c>
      <c r="M1805" s="4" t="s">
        <v>367</v>
      </c>
      <c r="N1805" s="11">
        <v>0</v>
      </c>
      <c r="O1805" s="4"/>
      <c r="P1805" s="4"/>
      <c r="Q1805" s="11">
        <v>0</v>
      </c>
      <c r="R1805" s="4"/>
      <c r="S1805" s="12"/>
    </row>
    <row r="1806" spans="1:19" x14ac:dyDescent="0.25">
      <c r="A1806" s="9" t="s">
        <v>485</v>
      </c>
      <c r="B1806" s="9" t="s">
        <v>485</v>
      </c>
      <c r="C1806" s="4">
        <v>201004352</v>
      </c>
      <c r="D1806" s="4"/>
      <c r="E1806" s="4" t="str">
        <f>"086862010"</f>
        <v>086862010</v>
      </c>
      <c r="F1806" s="10">
        <v>40358</v>
      </c>
      <c r="G1806" s="11">
        <v>15691.76</v>
      </c>
      <c r="H1806" s="11">
        <v>15691.76</v>
      </c>
      <c r="I1806" s="4" t="s">
        <v>366</v>
      </c>
      <c r="J1806" s="4" t="s">
        <v>367</v>
      </c>
      <c r="K1806" s="11">
        <v>0</v>
      </c>
      <c r="L1806" s="4"/>
      <c r="M1806" s="4"/>
      <c r="N1806" s="11">
        <v>0</v>
      </c>
      <c r="O1806" s="4"/>
      <c r="P1806" s="4"/>
      <c r="Q1806" s="11">
        <v>0</v>
      </c>
      <c r="R1806" s="4"/>
      <c r="S1806" s="12"/>
    </row>
    <row r="1807" spans="1:19" x14ac:dyDescent="0.25">
      <c r="A1807" s="9" t="s">
        <v>485</v>
      </c>
      <c r="B1807" s="9" t="s">
        <v>485</v>
      </c>
      <c r="C1807" s="4">
        <v>201004369</v>
      </c>
      <c r="D1807" s="4"/>
      <c r="E1807" s="4" t="str">
        <f>"089902010"</f>
        <v>089902010</v>
      </c>
      <c r="F1807" s="10">
        <v>40367</v>
      </c>
      <c r="G1807" s="11">
        <v>3156.94</v>
      </c>
      <c r="H1807" s="11">
        <v>3156.94</v>
      </c>
      <c r="I1807" s="4" t="s">
        <v>366</v>
      </c>
      <c r="J1807" s="4" t="s">
        <v>367</v>
      </c>
      <c r="K1807" s="11">
        <v>0</v>
      </c>
      <c r="L1807" s="4"/>
      <c r="M1807" s="4"/>
      <c r="N1807" s="11">
        <v>0</v>
      </c>
      <c r="O1807" s="4"/>
      <c r="P1807" s="4"/>
      <c r="Q1807" s="11">
        <v>0</v>
      </c>
      <c r="R1807" s="4"/>
      <c r="S1807" s="12"/>
    </row>
    <row r="1808" spans="1:19" x14ac:dyDescent="0.25">
      <c r="A1808" s="9" t="s">
        <v>485</v>
      </c>
      <c r="B1808" s="9" t="s">
        <v>485</v>
      </c>
      <c r="C1808" s="4">
        <v>201004376</v>
      </c>
      <c r="D1808" s="4" t="s">
        <v>2111</v>
      </c>
      <c r="E1808" s="4" t="str">
        <f>"087462010"</f>
        <v>087462010</v>
      </c>
      <c r="F1808" s="10">
        <v>40358</v>
      </c>
      <c r="G1808" s="11">
        <v>41000</v>
      </c>
      <c r="H1808" s="11">
        <v>41000</v>
      </c>
      <c r="I1808" s="4" t="s">
        <v>687</v>
      </c>
      <c r="J1808" s="4" t="s">
        <v>688</v>
      </c>
      <c r="K1808" s="11">
        <v>0</v>
      </c>
      <c r="L1808" s="4"/>
      <c r="M1808" s="4"/>
      <c r="N1808" s="11">
        <v>0</v>
      </c>
      <c r="O1808" s="4"/>
      <c r="P1808" s="4"/>
      <c r="Q1808" s="11">
        <v>0</v>
      </c>
      <c r="R1808" s="4"/>
      <c r="S1808" s="12"/>
    </row>
    <row r="1809" spans="1:19" x14ac:dyDescent="0.25">
      <c r="A1809" s="9" t="s">
        <v>485</v>
      </c>
      <c r="B1809" s="9" t="s">
        <v>485</v>
      </c>
      <c r="C1809" s="4">
        <v>201004377</v>
      </c>
      <c r="D1809" s="4"/>
      <c r="E1809" s="4" t="str">
        <f>"088622010"</f>
        <v>088622010</v>
      </c>
      <c r="F1809" s="10">
        <v>40367</v>
      </c>
      <c r="G1809" s="11">
        <v>6238.39</v>
      </c>
      <c r="H1809" s="11">
        <v>6238.39</v>
      </c>
      <c r="I1809" s="4" t="s">
        <v>366</v>
      </c>
      <c r="J1809" s="4" t="s">
        <v>367</v>
      </c>
      <c r="K1809" s="11">
        <v>0</v>
      </c>
      <c r="L1809" s="4"/>
      <c r="M1809" s="4"/>
      <c r="N1809" s="11">
        <v>0</v>
      </c>
      <c r="O1809" s="4"/>
      <c r="P1809" s="4"/>
      <c r="Q1809" s="11">
        <v>0</v>
      </c>
      <c r="R1809" s="4"/>
      <c r="S1809" s="12"/>
    </row>
    <row r="1810" spans="1:19" x14ac:dyDescent="0.25">
      <c r="A1810" s="9" t="s">
        <v>485</v>
      </c>
      <c r="B1810" s="9" t="s">
        <v>485</v>
      </c>
      <c r="C1810" s="4">
        <v>201004387</v>
      </c>
      <c r="D1810" s="4" t="s">
        <v>2112</v>
      </c>
      <c r="E1810" s="4" t="str">
        <f>"089202010"</f>
        <v>089202010</v>
      </c>
      <c r="F1810" s="10">
        <v>40366</v>
      </c>
      <c r="G1810" s="11">
        <v>41000</v>
      </c>
      <c r="H1810" s="11">
        <v>41000</v>
      </c>
      <c r="I1810" s="4" t="s">
        <v>687</v>
      </c>
      <c r="J1810" s="4" t="s">
        <v>688</v>
      </c>
      <c r="K1810" s="11">
        <v>0</v>
      </c>
      <c r="L1810" s="4"/>
      <c r="M1810" s="4"/>
      <c r="N1810" s="11">
        <v>0</v>
      </c>
      <c r="O1810" s="4"/>
      <c r="P1810" s="4"/>
      <c r="Q1810" s="11">
        <v>0</v>
      </c>
      <c r="R1810" s="4"/>
      <c r="S1810" s="12"/>
    </row>
    <row r="1811" spans="1:19" x14ac:dyDescent="0.25">
      <c r="A1811" s="9" t="s">
        <v>485</v>
      </c>
      <c r="B1811" s="9" t="s">
        <v>485</v>
      </c>
      <c r="C1811" s="4">
        <v>201004397</v>
      </c>
      <c r="D1811" s="4"/>
      <c r="E1811" s="4" t="str">
        <f>"087742010"</f>
        <v>087742010</v>
      </c>
      <c r="F1811" s="10">
        <v>40360</v>
      </c>
      <c r="G1811" s="11">
        <v>4223.5</v>
      </c>
      <c r="H1811" s="11">
        <v>4223.5</v>
      </c>
      <c r="I1811" s="4" t="s">
        <v>366</v>
      </c>
      <c r="J1811" s="4" t="s">
        <v>367</v>
      </c>
      <c r="K1811" s="11">
        <v>0</v>
      </c>
      <c r="L1811" s="4"/>
      <c r="M1811" s="4"/>
      <c r="N1811" s="11">
        <v>0</v>
      </c>
      <c r="O1811" s="4"/>
      <c r="P1811" s="4"/>
      <c r="Q1811" s="11">
        <v>0</v>
      </c>
      <c r="R1811" s="4"/>
      <c r="S1811" s="12"/>
    </row>
    <row r="1812" spans="1:19" x14ac:dyDescent="0.25">
      <c r="A1812" s="9" t="s">
        <v>485</v>
      </c>
      <c r="B1812" s="9" t="s">
        <v>485</v>
      </c>
      <c r="C1812" s="4">
        <v>201004398</v>
      </c>
      <c r="D1812" s="4" t="s">
        <v>2113</v>
      </c>
      <c r="E1812" s="4" t="str">
        <f>"087722010"</f>
        <v>087722010</v>
      </c>
      <c r="F1812" s="10">
        <v>40360</v>
      </c>
      <c r="G1812" s="11">
        <v>17475.46</v>
      </c>
      <c r="H1812" s="11">
        <v>17475.46</v>
      </c>
      <c r="I1812" s="4" t="s">
        <v>366</v>
      </c>
      <c r="J1812" s="4" t="s">
        <v>367</v>
      </c>
      <c r="K1812" s="11">
        <v>0</v>
      </c>
      <c r="L1812" s="4"/>
      <c r="M1812" s="4"/>
      <c r="N1812" s="11">
        <v>0</v>
      </c>
      <c r="O1812" s="4"/>
      <c r="P1812" s="4"/>
      <c r="Q1812" s="11">
        <v>0</v>
      </c>
      <c r="R1812" s="4"/>
      <c r="S1812" s="12"/>
    </row>
    <row r="1813" spans="1:19" x14ac:dyDescent="0.25">
      <c r="A1813" s="9" t="s">
        <v>485</v>
      </c>
      <c r="B1813" s="9" t="s">
        <v>485</v>
      </c>
      <c r="C1813" s="4">
        <v>201004407</v>
      </c>
      <c r="D1813" s="4" t="s">
        <v>2534</v>
      </c>
      <c r="E1813" s="4" t="str">
        <f>"087702010"</f>
        <v>087702010</v>
      </c>
      <c r="F1813" s="10">
        <v>40360</v>
      </c>
      <c r="G1813" s="11">
        <v>16500</v>
      </c>
      <c r="H1813" s="11">
        <v>13200</v>
      </c>
      <c r="I1813" s="4" t="s">
        <v>366</v>
      </c>
      <c r="J1813" s="4" t="s">
        <v>367</v>
      </c>
      <c r="K1813" s="11">
        <v>3300</v>
      </c>
      <c r="L1813" s="4" t="s">
        <v>366</v>
      </c>
      <c r="M1813" s="4" t="s">
        <v>367</v>
      </c>
      <c r="N1813" s="11">
        <v>0</v>
      </c>
      <c r="O1813" s="4"/>
      <c r="P1813" s="4"/>
      <c r="Q1813" s="11">
        <v>0</v>
      </c>
      <c r="R1813" s="4"/>
      <c r="S1813" s="12"/>
    </row>
    <row r="1814" spans="1:19" x14ac:dyDescent="0.25">
      <c r="A1814" s="9" t="s">
        <v>485</v>
      </c>
      <c r="B1814" s="9" t="s">
        <v>485</v>
      </c>
      <c r="C1814" s="4">
        <v>201004411</v>
      </c>
      <c r="D1814" s="4"/>
      <c r="E1814" s="4" t="str">
        <f>"088202010"</f>
        <v>088202010</v>
      </c>
      <c r="F1814" s="10">
        <v>40367</v>
      </c>
      <c r="G1814" s="11">
        <v>2581.58</v>
      </c>
      <c r="H1814" s="11">
        <v>2581.58</v>
      </c>
      <c r="I1814" s="4" t="s">
        <v>366</v>
      </c>
      <c r="J1814" s="4" t="s">
        <v>367</v>
      </c>
      <c r="K1814" s="11">
        <v>0</v>
      </c>
      <c r="L1814" s="4"/>
      <c r="M1814" s="4"/>
      <c r="N1814" s="11">
        <v>0</v>
      </c>
      <c r="O1814" s="4"/>
      <c r="P1814" s="4"/>
      <c r="Q1814" s="11">
        <v>0</v>
      </c>
      <c r="R1814" s="4"/>
      <c r="S1814" s="12"/>
    </row>
    <row r="1815" spans="1:19" x14ac:dyDescent="0.25">
      <c r="A1815" s="9" t="s">
        <v>485</v>
      </c>
      <c r="B1815" s="9" t="s">
        <v>485</v>
      </c>
      <c r="C1815" s="4">
        <v>201004416</v>
      </c>
      <c r="D1815" s="4"/>
      <c r="E1815" s="4" t="str">
        <f>"094862010"</f>
        <v>094862010</v>
      </c>
      <c r="F1815" s="10">
        <v>40381</v>
      </c>
      <c r="G1815" s="11">
        <v>6644.2</v>
      </c>
      <c r="H1815" s="11">
        <v>6644.2</v>
      </c>
      <c r="I1815" s="4" t="s">
        <v>366</v>
      </c>
      <c r="J1815" s="4" t="s">
        <v>367</v>
      </c>
      <c r="K1815" s="11">
        <v>0</v>
      </c>
      <c r="L1815" s="4"/>
      <c r="M1815" s="4"/>
      <c r="N1815" s="11">
        <v>0</v>
      </c>
      <c r="O1815" s="4"/>
      <c r="P1815" s="4"/>
      <c r="Q1815" s="11">
        <v>0</v>
      </c>
      <c r="R1815" s="4"/>
      <c r="S1815" s="12"/>
    </row>
    <row r="1816" spans="1:19" x14ac:dyDescent="0.25">
      <c r="A1816" s="9" t="s">
        <v>485</v>
      </c>
      <c r="B1816" s="9" t="s">
        <v>485</v>
      </c>
      <c r="C1816" s="4">
        <v>201004419</v>
      </c>
      <c r="D1816" s="4"/>
      <c r="E1816" s="4" t="str">
        <f>"094242010"</f>
        <v>094242010</v>
      </c>
      <c r="F1816" s="10">
        <v>40396</v>
      </c>
      <c r="G1816" s="11">
        <v>4000</v>
      </c>
      <c r="H1816" s="11">
        <v>4000</v>
      </c>
      <c r="I1816" s="4" t="s">
        <v>931</v>
      </c>
      <c r="J1816" s="4" t="s">
        <v>932</v>
      </c>
      <c r="K1816" s="11">
        <v>0</v>
      </c>
      <c r="L1816" s="4"/>
      <c r="M1816" s="4"/>
      <c r="N1816" s="11">
        <v>0</v>
      </c>
      <c r="O1816" s="4"/>
      <c r="P1816" s="4"/>
      <c r="Q1816" s="11">
        <v>0</v>
      </c>
      <c r="R1816" s="4"/>
      <c r="S1816" s="12"/>
    </row>
    <row r="1817" spans="1:19" x14ac:dyDescent="0.25">
      <c r="A1817" s="9" t="s">
        <v>485</v>
      </c>
      <c r="B1817" s="9" t="s">
        <v>485</v>
      </c>
      <c r="C1817" s="4">
        <v>201004425</v>
      </c>
      <c r="D1817" s="4"/>
      <c r="E1817" s="4" t="str">
        <f>"093962010"</f>
        <v>093962010</v>
      </c>
      <c r="F1817" s="10">
        <v>40379</v>
      </c>
      <c r="G1817" s="11">
        <v>3510.6</v>
      </c>
      <c r="H1817" s="11">
        <v>3510.6</v>
      </c>
      <c r="I1817" s="4" t="s">
        <v>366</v>
      </c>
      <c r="J1817" s="4" t="s">
        <v>367</v>
      </c>
      <c r="K1817" s="11">
        <v>0</v>
      </c>
      <c r="L1817" s="4"/>
      <c r="M1817" s="4"/>
      <c r="N1817" s="11">
        <v>0</v>
      </c>
      <c r="O1817" s="4"/>
      <c r="P1817" s="4"/>
      <c r="Q1817" s="11">
        <v>0</v>
      </c>
      <c r="R1817" s="4"/>
      <c r="S1817" s="12"/>
    </row>
    <row r="1818" spans="1:19" x14ac:dyDescent="0.25">
      <c r="A1818" s="9" t="s">
        <v>485</v>
      </c>
      <c r="B1818" s="9" t="s">
        <v>485</v>
      </c>
      <c r="C1818" s="4">
        <v>201004470</v>
      </c>
      <c r="D1818" s="4"/>
      <c r="E1818" s="4" t="str">
        <f>"091042010"</f>
        <v>091042010</v>
      </c>
      <c r="F1818" s="10">
        <v>40368</v>
      </c>
      <c r="G1818" s="11">
        <v>6160.49</v>
      </c>
      <c r="H1818" s="11">
        <v>6160.49</v>
      </c>
      <c r="I1818" s="4" t="s">
        <v>366</v>
      </c>
      <c r="J1818" s="4" t="s">
        <v>367</v>
      </c>
      <c r="K1818" s="11">
        <v>0</v>
      </c>
      <c r="L1818" s="4"/>
      <c r="M1818" s="4"/>
      <c r="N1818" s="11">
        <v>0</v>
      </c>
      <c r="O1818" s="4"/>
      <c r="P1818" s="4"/>
      <c r="Q1818" s="11">
        <v>0</v>
      </c>
      <c r="R1818" s="4"/>
      <c r="S1818" s="12"/>
    </row>
    <row r="1819" spans="1:19" x14ac:dyDescent="0.25">
      <c r="A1819" s="9" t="s">
        <v>485</v>
      </c>
      <c r="B1819" s="9" t="s">
        <v>485</v>
      </c>
      <c r="C1819" s="4">
        <v>201004473</v>
      </c>
      <c r="D1819" s="4"/>
      <c r="E1819" s="4" t="str">
        <f>"095992010"</f>
        <v>095992010</v>
      </c>
      <c r="F1819" s="10">
        <v>40387</v>
      </c>
      <c r="G1819" s="11">
        <v>6417</v>
      </c>
      <c r="H1819" s="11">
        <v>6417</v>
      </c>
      <c r="I1819" s="4" t="s">
        <v>366</v>
      </c>
      <c r="J1819" s="4" t="s">
        <v>367</v>
      </c>
      <c r="K1819" s="11">
        <v>0</v>
      </c>
      <c r="L1819" s="4"/>
      <c r="M1819" s="4"/>
      <c r="N1819" s="11">
        <v>0</v>
      </c>
      <c r="O1819" s="4"/>
      <c r="P1819" s="4"/>
      <c r="Q1819" s="11">
        <v>0</v>
      </c>
      <c r="R1819" s="4"/>
      <c r="S1819" s="12"/>
    </row>
    <row r="1820" spans="1:19" x14ac:dyDescent="0.25">
      <c r="A1820" s="9" t="s">
        <v>485</v>
      </c>
      <c r="B1820" s="9" t="s">
        <v>485</v>
      </c>
      <c r="C1820" s="4">
        <v>201004497</v>
      </c>
      <c r="D1820" s="4"/>
      <c r="E1820" s="4" t="str">
        <f>"090162010"</f>
        <v>090162010</v>
      </c>
      <c r="F1820" s="10">
        <v>40367</v>
      </c>
      <c r="G1820" s="11">
        <v>3633.22</v>
      </c>
      <c r="H1820" s="11">
        <v>3633.22</v>
      </c>
      <c r="I1820" s="4" t="s">
        <v>366</v>
      </c>
      <c r="J1820" s="4" t="s">
        <v>367</v>
      </c>
      <c r="K1820" s="11">
        <v>0</v>
      </c>
      <c r="L1820" s="4"/>
      <c r="M1820" s="4"/>
      <c r="N1820" s="11">
        <v>0</v>
      </c>
      <c r="O1820" s="4"/>
      <c r="P1820" s="4"/>
      <c r="Q1820" s="11">
        <v>0</v>
      </c>
      <c r="R1820" s="4"/>
      <c r="S1820" s="12"/>
    </row>
    <row r="1821" spans="1:19" x14ac:dyDescent="0.25">
      <c r="A1821" s="9" t="s">
        <v>485</v>
      </c>
      <c r="B1821" s="9" t="s">
        <v>485</v>
      </c>
      <c r="C1821" s="4">
        <v>201004500</v>
      </c>
      <c r="D1821" s="4"/>
      <c r="E1821" s="4" t="str">
        <f>"091382010"</f>
        <v>091382010</v>
      </c>
      <c r="F1821" s="10">
        <v>40368</v>
      </c>
      <c r="G1821" s="11">
        <v>2666</v>
      </c>
      <c r="H1821" s="11">
        <v>2666</v>
      </c>
      <c r="I1821" s="4" t="s">
        <v>366</v>
      </c>
      <c r="J1821" s="4" t="s">
        <v>367</v>
      </c>
      <c r="K1821" s="11">
        <v>0</v>
      </c>
      <c r="L1821" s="4"/>
      <c r="M1821" s="4"/>
      <c r="N1821" s="11">
        <v>0</v>
      </c>
      <c r="O1821" s="4"/>
      <c r="P1821" s="4"/>
      <c r="Q1821" s="11">
        <v>0</v>
      </c>
      <c r="R1821" s="4"/>
      <c r="S1821" s="12"/>
    </row>
    <row r="1822" spans="1:19" x14ac:dyDescent="0.25">
      <c r="A1822" s="9" t="s">
        <v>485</v>
      </c>
      <c r="B1822" s="9" t="s">
        <v>485</v>
      </c>
      <c r="C1822" s="4">
        <v>201004526</v>
      </c>
      <c r="D1822" s="4"/>
      <c r="E1822" s="4" t="str">
        <f>"090502010"</f>
        <v>090502010</v>
      </c>
      <c r="F1822" s="10">
        <v>40367</v>
      </c>
      <c r="G1822" s="11">
        <v>5860.77</v>
      </c>
      <c r="H1822" s="11">
        <v>5860.77</v>
      </c>
      <c r="I1822" s="4" t="s">
        <v>54</v>
      </c>
      <c r="J1822" s="4" t="s">
        <v>55</v>
      </c>
      <c r="K1822" s="11">
        <v>0</v>
      </c>
      <c r="L1822" s="4"/>
      <c r="M1822" s="4"/>
      <c r="N1822" s="11">
        <v>0</v>
      </c>
      <c r="O1822" s="4"/>
      <c r="P1822" s="4"/>
      <c r="Q1822" s="11">
        <v>0</v>
      </c>
      <c r="R1822" s="4"/>
      <c r="S1822" s="12"/>
    </row>
    <row r="1823" spans="1:19" x14ac:dyDescent="0.25">
      <c r="A1823" s="9" t="s">
        <v>485</v>
      </c>
      <c r="B1823" s="9" t="s">
        <v>485</v>
      </c>
      <c r="C1823" s="4">
        <v>201004531</v>
      </c>
      <c r="D1823" s="4"/>
      <c r="E1823" s="4" t="str">
        <f>"097252010"</f>
        <v>097252010</v>
      </c>
      <c r="F1823" s="10">
        <v>40394</v>
      </c>
      <c r="G1823" s="11">
        <v>5202.54</v>
      </c>
      <c r="H1823" s="11">
        <v>5202.54</v>
      </c>
      <c r="I1823" s="4" t="s">
        <v>54</v>
      </c>
      <c r="J1823" s="4" t="s">
        <v>55</v>
      </c>
      <c r="K1823" s="11">
        <v>0</v>
      </c>
      <c r="L1823" s="4"/>
      <c r="M1823" s="4"/>
      <c r="N1823" s="11">
        <v>0</v>
      </c>
      <c r="O1823" s="4"/>
      <c r="P1823" s="4"/>
      <c r="Q1823" s="11">
        <v>0</v>
      </c>
      <c r="R1823" s="4"/>
      <c r="S1823" s="12"/>
    </row>
    <row r="1824" spans="1:19" x14ac:dyDescent="0.25">
      <c r="A1824" s="9" t="s">
        <v>485</v>
      </c>
      <c r="B1824" s="9" t="s">
        <v>485</v>
      </c>
      <c r="C1824" s="4">
        <v>201004543</v>
      </c>
      <c r="D1824" s="4"/>
      <c r="E1824" s="4" t="str">
        <f>"090522010"</f>
        <v>090522010</v>
      </c>
      <c r="F1824" s="10">
        <v>40367</v>
      </c>
      <c r="G1824" s="11">
        <v>3885.85</v>
      </c>
      <c r="H1824" s="11">
        <v>3885.85</v>
      </c>
      <c r="I1824" s="4" t="s">
        <v>366</v>
      </c>
      <c r="J1824" s="4" t="s">
        <v>367</v>
      </c>
      <c r="K1824" s="11">
        <v>0</v>
      </c>
      <c r="L1824" s="4"/>
      <c r="M1824" s="4"/>
      <c r="N1824" s="11">
        <v>0</v>
      </c>
      <c r="O1824" s="4"/>
      <c r="P1824" s="4"/>
      <c r="Q1824" s="11">
        <v>0</v>
      </c>
      <c r="R1824" s="4"/>
      <c r="S1824" s="12"/>
    </row>
    <row r="1825" spans="1:19" x14ac:dyDescent="0.25">
      <c r="A1825" s="9" t="s">
        <v>485</v>
      </c>
      <c r="B1825" s="9" t="s">
        <v>485</v>
      </c>
      <c r="C1825" s="4">
        <v>201004547</v>
      </c>
      <c r="D1825" s="4"/>
      <c r="E1825" s="4" t="str">
        <f>"091562010"</f>
        <v>091562010</v>
      </c>
      <c r="F1825" s="10">
        <v>40368</v>
      </c>
      <c r="G1825" s="11">
        <v>7177.16</v>
      </c>
      <c r="H1825" s="11">
        <v>7177.16</v>
      </c>
      <c r="I1825" s="4" t="s">
        <v>366</v>
      </c>
      <c r="J1825" s="4" t="s">
        <v>367</v>
      </c>
      <c r="K1825" s="11">
        <v>0</v>
      </c>
      <c r="L1825" s="4"/>
      <c r="M1825" s="4"/>
      <c r="N1825" s="11">
        <v>0</v>
      </c>
      <c r="O1825" s="4"/>
      <c r="P1825" s="4"/>
      <c r="Q1825" s="11">
        <v>0</v>
      </c>
      <c r="R1825" s="4"/>
      <c r="S1825" s="12"/>
    </row>
    <row r="1826" spans="1:19" x14ac:dyDescent="0.25">
      <c r="A1826" s="9" t="s">
        <v>485</v>
      </c>
      <c r="B1826" s="9" t="s">
        <v>485</v>
      </c>
      <c r="C1826" s="4">
        <v>201004550</v>
      </c>
      <c r="D1826" s="4"/>
      <c r="E1826" s="4" t="str">
        <f>"090742010"</f>
        <v>090742010</v>
      </c>
      <c r="F1826" s="10">
        <v>40367</v>
      </c>
      <c r="G1826" s="11">
        <v>8310</v>
      </c>
      <c r="H1826" s="11">
        <v>8310</v>
      </c>
      <c r="I1826" s="4" t="s">
        <v>366</v>
      </c>
      <c r="J1826" s="4" t="s">
        <v>367</v>
      </c>
      <c r="K1826" s="11">
        <v>0</v>
      </c>
      <c r="L1826" s="4"/>
      <c r="M1826" s="4"/>
      <c r="N1826" s="11">
        <v>0</v>
      </c>
      <c r="O1826" s="4"/>
      <c r="P1826" s="4"/>
      <c r="Q1826" s="11">
        <v>0</v>
      </c>
      <c r="R1826" s="4"/>
      <c r="S1826" s="12"/>
    </row>
    <row r="1827" spans="1:19" x14ac:dyDescent="0.25">
      <c r="A1827" s="9" t="s">
        <v>485</v>
      </c>
      <c r="B1827" s="9" t="s">
        <v>485</v>
      </c>
      <c r="C1827" s="4">
        <v>201004562</v>
      </c>
      <c r="D1827" s="4" t="s">
        <v>2114</v>
      </c>
      <c r="E1827" s="4" t="str">
        <f>"092122010"</f>
        <v>092122010</v>
      </c>
      <c r="F1827" s="10">
        <v>40373</v>
      </c>
      <c r="G1827" s="11">
        <v>27562.23</v>
      </c>
      <c r="H1827" s="11">
        <v>27562.23</v>
      </c>
      <c r="I1827" s="4" t="s">
        <v>366</v>
      </c>
      <c r="J1827" s="4" t="s">
        <v>367</v>
      </c>
      <c r="K1827" s="11">
        <v>0</v>
      </c>
      <c r="L1827" s="4"/>
      <c r="M1827" s="4"/>
      <c r="N1827" s="11">
        <v>0</v>
      </c>
      <c r="O1827" s="4"/>
      <c r="P1827" s="4"/>
      <c r="Q1827" s="11">
        <v>0</v>
      </c>
      <c r="R1827" s="4"/>
      <c r="S1827" s="12"/>
    </row>
    <row r="1828" spans="1:19" x14ac:dyDescent="0.25">
      <c r="A1828" s="9" t="s">
        <v>485</v>
      </c>
      <c r="B1828" s="9" t="s">
        <v>485</v>
      </c>
      <c r="C1828" s="4">
        <v>201004587</v>
      </c>
      <c r="D1828" s="4" t="s">
        <v>2115</v>
      </c>
      <c r="E1828" s="4" t="str">
        <f>"092982010"</f>
        <v>092982010</v>
      </c>
      <c r="F1828" s="10">
        <v>40374</v>
      </c>
      <c r="G1828" s="11">
        <v>125000</v>
      </c>
      <c r="H1828" s="11">
        <v>125000</v>
      </c>
      <c r="I1828" s="4" t="s">
        <v>366</v>
      </c>
      <c r="J1828" s="4" t="s">
        <v>367</v>
      </c>
      <c r="K1828" s="11">
        <v>0</v>
      </c>
      <c r="L1828" s="4"/>
      <c r="M1828" s="4"/>
      <c r="N1828" s="11">
        <v>0</v>
      </c>
      <c r="O1828" s="4"/>
      <c r="P1828" s="4"/>
      <c r="Q1828" s="11">
        <v>0</v>
      </c>
      <c r="R1828" s="4"/>
      <c r="S1828" s="12"/>
    </row>
    <row r="1829" spans="1:19" x14ac:dyDescent="0.25">
      <c r="A1829" s="9" t="s">
        <v>485</v>
      </c>
      <c r="B1829" s="9" t="s">
        <v>485</v>
      </c>
      <c r="C1829" s="4">
        <v>201004588</v>
      </c>
      <c r="D1829" s="4" t="s">
        <v>2116</v>
      </c>
      <c r="E1829" s="4" t="str">
        <f>"098462010"</f>
        <v>098462010</v>
      </c>
      <c r="F1829" s="10">
        <v>40394</v>
      </c>
      <c r="G1829" s="11">
        <v>190000</v>
      </c>
      <c r="H1829" s="11">
        <v>190000</v>
      </c>
      <c r="I1829" s="4" t="s">
        <v>687</v>
      </c>
      <c r="J1829" s="4" t="s">
        <v>688</v>
      </c>
      <c r="K1829" s="11">
        <v>0</v>
      </c>
      <c r="L1829" s="4"/>
      <c r="M1829" s="4"/>
      <c r="N1829" s="11">
        <v>0</v>
      </c>
      <c r="O1829" s="4"/>
      <c r="P1829" s="4"/>
      <c r="Q1829" s="11">
        <v>0</v>
      </c>
      <c r="R1829" s="4"/>
      <c r="S1829" s="12"/>
    </row>
    <row r="1830" spans="1:19" x14ac:dyDescent="0.25">
      <c r="A1830" s="9" t="s">
        <v>485</v>
      </c>
      <c r="B1830" s="9" t="s">
        <v>485</v>
      </c>
      <c r="C1830" s="4">
        <v>201004608</v>
      </c>
      <c r="D1830" s="4"/>
      <c r="E1830" s="4" t="str">
        <f>"092722010"</f>
        <v>092722010</v>
      </c>
      <c r="F1830" s="10">
        <v>40373</v>
      </c>
      <c r="G1830" s="11">
        <v>9829</v>
      </c>
      <c r="H1830" s="11">
        <v>9829</v>
      </c>
      <c r="I1830" s="4" t="s">
        <v>366</v>
      </c>
      <c r="J1830" s="4" t="s">
        <v>367</v>
      </c>
      <c r="K1830" s="11">
        <v>0</v>
      </c>
      <c r="L1830" s="4"/>
      <c r="M1830" s="4"/>
      <c r="N1830" s="11">
        <v>0</v>
      </c>
      <c r="O1830" s="4"/>
      <c r="P1830" s="4"/>
      <c r="Q1830" s="11">
        <v>0</v>
      </c>
      <c r="R1830" s="4"/>
      <c r="S1830" s="12"/>
    </row>
    <row r="1831" spans="1:19" x14ac:dyDescent="0.25">
      <c r="A1831" s="9" t="s">
        <v>485</v>
      </c>
      <c r="B1831" s="9" t="s">
        <v>485</v>
      </c>
      <c r="C1831" s="4">
        <v>201004628</v>
      </c>
      <c r="D1831" s="4"/>
      <c r="E1831" s="4" t="str">
        <f>"092502010"</f>
        <v>092502010</v>
      </c>
      <c r="F1831" s="10">
        <v>40373</v>
      </c>
      <c r="G1831" s="11">
        <v>6129</v>
      </c>
      <c r="H1831" s="11">
        <v>6129</v>
      </c>
      <c r="I1831" s="4" t="s">
        <v>366</v>
      </c>
      <c r="J1831" s="4" t="s">
        <v>367</v>
      </c>
      <c r="K1831" s="11">
        <v>0</v>
      </c>
      <c r="L1831" s="4"/>
      <c r="M1831" s="4"/>
      <c r="N1831" s="11">
        <v>0</v>
      </c>
      <c r="O1831" s="4"/>
      <c r="P1831" s="4"/>
      <c r="Q1831" s="11">
        <v>0</v>
      </c>
      <c r="R1831" s="4"/>
      <c r="S1831" s="12"/>
    </row>
    <row r="1832" spans="1:19" x14ac:dyDescent="0.25">
      <c r="A1832" s="9" t="s">
        <v>485</v>
      </c>
      <c r="B1832" s="9" t="s">
        <v>485</v>
      </c>
      <c r="C1832" s="4">
        <v>201004633</v>
      </c>
      <c r="D1832" s="4" t="s">
        <v>2117</v>
      </c>
      <c r="E1832" s="4" t="str">
        <f>"092742010"</f>
        <v>092742010</v>
      </c>
      <c r="F1832" s="10">
        <v>40373</v>
      </c>
      <c r="G1832" s="11">
        <v>8817</v>
      </c>
      <c r="H1832" s="11">
        <v>8817</v>
      </c>
      <c r="I1832" s="4" t="s">
        <v>366</v>
      </c>
      <c r="J1832" s="4" t="s">
        <v>367</v>
      </c>
      <c r="K1832" s="11">
        <v>0</v>
      </c>
      <c r="L1832" s="4"/>
      <c r="M1832" s="4"/>
      <c r="N1832" s="11">
        <v>0</v>
      </c>
      <c r="O1832" s="4"/>
      <c r="P1832" s="4"/>
      <c r="Q1832" s="11">
        <v>0</v>
      </c>
      <c r="R1832" s="4"/>
      <c r="S1832" s="12"/>
    </row>
    <row r="1833" spans="1:19" x14ac:dyDescent="0.25">
      <c r="A1833" s="9" t="s">
        <v>485</v>
      </c>
      <c r="B1833" s="9" t="s">
        <v>485</v>
      </c>
      <c r="C1833" s="4">
        <v>201004662</v>
      </c>
      <c r="D1833" s="4" t="s">
        <v>2118</v>
      </c>
      <c r="E1833" s="4" t="str">
        <f>"093182010"</f>
        <v>093182010</v>
      </c>
      <c r="F1833" s="10">
        <v>40375</v>
      </c>
      <c r="G1833" s="11">
        <v>64928.95</v>
      </c>
      <c r="H1833" s="11">
        <v>64928.95</v>
      </c>
      <c r="I1833" s="4" t="s">
        <v>366</v>
      </c>
      <c r="J1833" s="4" t="s">
        <v>367</v>
      </c>
      <c r="K1833" s="11">
        <v>0</v>
      </c>
      <c r="L1833" s="4"/>
      <c r="M1833" s="4"/>
      <c r="N1833" s="11">
        <v>0</v>
      </c>
      <c r="O1833" s="4"/>
      <c r="P1833" s="4"/>
      <c r="Q1833" s="11">
        <v>0</v>
      </c>
      <c r="R1833" s="4"/>
      <c r="S1833" s="12"/>
    </row>
    <row r="1834" spans="1:19" x14ac:dyDescent="0.25">
      <c r="A1834" s="9" t="s">
        <v>485</v>
      </c>
      <c r="B1834" s="9" t="s">
        <v>485</v>
      </c>
      <c r="C1834" s="4">
        <v>201004665</v>
      </c>
      <c r="D1834" s="4" t="s">
        <v>2119</v>
      </c>
      <c r="E1834" s="4" t="str">
        <f>"092562010"</f>
        <v>092562010</v>
      </c>
      <c r="F1834" s="10">
        <v>40373</v>
      </c>
      <c r="G1834" s="11">
        <v>0</v>
      </c>
      <c r="H1834" s="11">
        <v>5200</v>
      </c>
      <c r="I1834" s="4" t="s">
        <v>366</v>
      </c>
      <c r="J1834" s="4" t="s">
        <v>367</v>
      </c>
      <c r="K1834" s="11">
        <v>0</v>
      </c>
      <c r="L1834" s="4"/>
      <c r="M1834" s="4"/>
      <c r="N1834" s="11">
        <v>0</v>
      </c>
      <c r="O1834" s="4"/>
      <c r="P1834" s="4"/>
      <c r="Q1834" s="11">
        <v>0</v>
      </c>
      <c r="R1834" s="4"/>
      <c r="S1834" s="12"/>
    </row>
    <row r="1835" spans="1:19" x14ac:dyDescent="0.25">
      <c r="A1835" s="9" t="s">
        <v>485</v>
      </c>
      <c r="B1835" s="9" t="s">
        <v>485</v>
      </c>
      <c r="C1835" s="4">
        <v>201004675</v>
      </c>
      <c r="D1835" s="4" t="s">
        <v>2120</v>
      </c>
      <c r="E1835" s="4" t="str">
        <f>"095062010"</f>
        <v>095062010</v>
      </c>
      <c r="F1835" s="10">
        <v>40393</v>
      </c>
      <c r="G1835" s="11">
        <v>742255.14</v>
      </c>
      <c r="H1835" s="11">
        <v>731119.38</v>
      </c>
      <c r="I1835" s="4" t="s">
        <v>1937</v>
      </c>
      <c r="J1835" s="4" t="s">
        <v>1938</v>
      </c>
      <c r="K1835" s="11">
        <v>0</v>
      </c>
      <c r="L1835" s="4"/>
      <c r="M1835" s="4"/>
      <c r="N1835" s="11">
        <v>0</v>
      </c>
      <c r="O1835" s="4"/>
      <c r="P1835" s="4"/>
      <c r="Q1835" s="11">
        <v>0</v>
      </c>
      <c r="R1835" s="4"/>
      <c r="S1835" s="12"/>
    </row>
    <row r="1836" spans="1:19" x14ac:dyDescent="0.25">
      <c r="A1836" s="9" t="s">
        <v>485</v>
      </c>
      <c r="B1836" s="9" t="s">
        <v>485</v>
      </c>
      <c r="C1836" s="4">
        <v>201004689</v>
      </c>
      <c r="D1836" s="4"/>
      <c r="E1836" s="4" t="str">
        <f>"093362010"</f>
        <v>093362010</v>
      </c>
      <c r="F1836" s="10">
        <v>40375</v>
      </c>
      <c r="G1836" s="11">
        <v>3713.2</v>
      </c>
      <c r="H1836" s="11">
        <v>3713.2</v>
      </c>
      <c r="I1836" s="4" t="s">
        <v>366</v>
      </c>
      <c r="J1836" s="4" t="s">
        <v>367</v>
      </c>
      <c r="K1836" s="11">
        <v>0</v>
      </c>
      <c r="L1836" s="4"/>
      <c r="M1836" s="4"/>
      <c r="N1836" s="11">
        <v>0</v>
      </c>
      <c r="O1836" s="4"/>
      <c r="P1836" s="4"/>
      <c r="Q1836" s="11">
        <v>0</v>
      </c>
      <c r="R1836" s="4"/>
      <c r="S1836" s="12"/>
    </row>
    <row r="1837" spans="1:19" x14ac:dyDescent="0.25">
      <c r="A1837" s="9" t="s">
        <v>485</v>
      </c>
      <c r="B1837" s="9" t="s">
        <v>485</v>
      </c>
      <c r="C1837" s="4">
        <v>201004692</v>
      </c>
      <c r="D1837" s="4"/>
      <c r="E1837" s="4" t="str">
        <f>"095972010"</f>
        <v>095972010</v>
      </c>
      <c r="F1837" s="10">
        <v>40387</v>
      </c>
      <c r="G1837" s="11">
        <v>5498</v>
      </c>
      <c r="H1837" s="11">
        <v>5498</v>
      </c>
      <c r="I1837" s="4" t="s">
        <v>366</v>
      </c>
      <c r="J1837" s="4" t="s">
        <v>367</v>
      </c>
      <c r="K1837" s="11">
        <v>0</v>
      </c>
      <c r="L1837" s="4"/>
      <c r="M1837" s="4"/>
      <c r="N1837" s="11">
        <v>0</v>
      </c>
      <c r="O1837" s="4"/>
      <c r="P1837" s="4"/>
      <c r="Q1837" s="11">
        <v>0</v>
      </c>
      <c r="R1837" s="4"/>
      <c r="S1837" s="12"/>
    </row>
    <row r="1838" spans="1:19" x14ac:dyDescent="0.25">
      <c r="A1838" s="9" t="s">
        <v>485</v>
      </c>
      <c r="B1838" s="9" t="s">
        <v>485</v>
      </c>
      <c r="C1838" s="4">
        <v>201004702</v>
      </c>
      <c r="D1838" s="4"/>
      <c r="E1838" s="4" t="str">
        <f>"095682010"</f>
        <v>095682010</v>
      </c>
      <c r="F1838" s="10">
        <v>40387</v>
      </c>
      <c r="G1838" s="11">
        <v>6235.7</v>
      </c>
      <c r="H1838" s="11">
        <v>6235.7</v>
      </c>
      <c r="I1838" s="4" t="s">
        <v>366</v>
      </c>
      <c r="J1838" s="4" t="s">
        <v>367</v>
      </c>
      <c r="K1838" s="11">
        <v>0</v>
      </c>
      <c r="L1838" s="4"/>
      <c r="M1838" s="4"/>
      <c r="N1838" s="11">
        <v>0</v>
      </c>
      <c r="O1838" s="4"/>
      <c r="P1838" s="4"/>
      <c r="Q1838" s="11">
        <v>0</v>
      </c>
      <c r="R1838" s="4"/>
      <c r="S1838" s="12"/>
    </row>
    <row r="1839" spans="1:19" x14ac:dyDescent="0.25">
      <c r="A1839" s="9" t="s">
        <v>485</v>
      </c>
      <c r="B1839" s="9" t="s">
        <v>485</v>
      </c>
      <c r="C1839" s="4">
        <v>201004728</v>
      </c>
      <c r="D1839" s="4" t="s">
        <v>2121</v>
      </c>
      <c r="E1839" s="4" t="str">
        <f>"094782010"</f>
        <v>094782010</v>
      </c>
      <c r="F1839" s="10">
        <v>40381</v>
      </c>
      <c r="G1839" s="11">
        <v>11000</v>
      </c>
      <c r="H1839" s="11">
        <v>11000</v>
      </c>
      <c r="I1839" s="4" t="s">
        <v>366</v>
      </c>
      <c r="J1839" s="4" t="s">
        <v>367</v>
      </c>
      <c r="K1839" s="11">
        <v>0</v>
      </c>
      <c r="L1839" s="4"/>
      <c r="M1839" s="4"/>
      <c r="N1839" s="11">
        <v>0</v>
      </c>
      <c r="O1839" s="4"/>
      <c r="P1839" s="4"/>
      <c r="Q1839" s="11">
        <v>0</v>
      </c>
      <c r="R1839" s="4"/>
      <c r="S1839" s="12"/>
    </row>
    <row r="1840" spans="1:19" x14ac:dyDescent="0.25">
      <c r="A1840" s="9" t="s">
        <v>485</v>
      </c>
      <c r="B1840" s="9" t="s">
        <v>485</v>
      </c>
      <c r="C1840" s="4">
        <v>201004735</v>
      </c>
      <c r="D1840" s="4" t="s">
        <v>2121</v>
      </c>
      <c r="E1840" s="4" t="str">
        <f>"094882010"</f>
        <v>094882010</v>
      </c>
      <c r="F1840" s="10">
        <v>40381</v>
      </c>
      <c r="G1840" s="11">
        <v>9000</v>
      </c>
      <c r="H1840" s="11">
        <v>9000</v>
      </c>
      <c r="I1840" s="4" t="s">
        <v>366</v>
      </c>
      <c r="J1840" s="4" t="s">
        <v>367</v>
      </c>
      <c r="K1840" s="11">
        <v>0</v>
      </c>
      <c r="L1840" s="4"/>
      <c r="M1840" s="4"/>
      <c r="N1840" s="11">
        <v>0</v>
      </c>
      <c r="O1840" s="4"/>
      <c r="P1840" s="4"/>
      <c r="Q1840" s="11">
        <v>0</v>
      </c>
      <c r="R1840" s="4"/>
      <c r="S1840" s="12"/>
    </row>
    <row r="1841" spans="1:19" x14ac:dyDescent="0.25">
      <c r="A1841" s="9" t="s">
        <v>485</v>
      </c>
      <c r="B1841" s="9" t="s">
        <v>485</v>
      </c>
      <c r="C1841" s="4">
        <v>201004736</v>
      </c>
      <c r="D1841" s="4" t="s">
        <v>2121</v>
      </c>
      <c r="E1841" s="4" t="str">
        <f>"095482010"</f>
        <v>095482010</v>
      </c>
      <c r="F1841" s="10">
        <v>40387</v>
      </c>
      <c r="G1841" s="11">
        <v>7500</v>
      </c>
      <c r="H1841" s="11">
        <v>7500</v>
      </c>
      <c r="I1841" s="4" t="s">
        <v>366</v>
      </c>
      <c r="J1841" s="4" t="s">
        <v>367</v>
      </c>
      <c r="K1841" s="11">
        <v>0</v>
      </c>
      <c r="L1841" s="4"/>
      <c r="M1841" s="4"/>
      <c r="N1841" s="11">
        <v>0</v>
      </c>
      <c r="O1841" s="4"/>
      <c r="P1841" s="4"/>
      <c r="Q1841" s="11">
        <v>0</v>
      </c>
      <c r="R1841" s="4"/>
      <c r="S1841" s="12"/>
    </row>
    <row r="1842" spans="1:19" x14ac:dyDescent="0.25">
      <c r="A1842" s="9" t="s">
        <v>485</v>
      </c>
      <c r="B1842" s="9" t="s">
        <v>485</v>
      </c>
      <c r="C1842" s="4">
        <v>201004755</v>
      </c>
      <c r="D1842" s="4"/>
      <c r="E1842" s="4" t="str">
        <f>"095162010"</f>
        <v>095162010</v>
      </c>
      <c r="F1842" s="10">
        <v>40382</v>
      </c>
      <c r="G1842" s="11">
        <v>4807.58</v>
      </c>
      <c r="H1842" s="11">
        <v>4807.58</v>
      </c>
      <c r="I1842" s="4" t="s">
        <v>366</v>
      </c>
      <c r="J1842" s="4" t="s">
        <v>367</v>
      </c>
      <c r="K1842" s="11">
        <v>0</v>
      </c>
      <c r="L1842" s="4"/>
      <c r="M1842" s="4"/>
      <c r="N1842" s="11">
        <v>0</v>
      </c>
      <c r="O1842" s="4"/>
      <c r="P1842" s="4"/>
      <c r="Q1842" s="11">
        <v>0</v>
      </c>
      <c r="R1842" s="4"/>
      <c r="S1842" s="12"/>
    </row>
    <row r="1843" spans="1:19" x14ac:dyDescent="0.25">
      <c r="A1843" s="9" t="s">
        <v>485</v>
      </c>
      <c r="B1843" s="9" t="s">
        <v>485</v>
      </c>
      <c r="C1843" s="4">
        <v>201004757</v>
      </c>
      <c r="D1843" s="4" t="s">
        <v>2057</v>
      </c>
      <c r="E1843" s="4" t="str">
        <f>"095142010"</f>
        <v>095142010</v>
      </c>
      <c r="F1843" s="10">
        <v>40382</v>
      </c>
      <c r="G1843" s="11">
        <v>45000</v>
      </c>
      <c r="H1843" s="11">
        <v>45000</v>
      </c>
      <c r="I1843" s="4" t="s">
        <v>687</v>
      </c>
      <c r="J1843" s="4" t="s">
        <v>688</v>
      </c>
      <c r="K1843" s="11">
        <v>0</v>
      </c>
      <c r="L1843" s="4"/>
      <c r="M1843" s="4"/>
      <c r="N1843" s="11">
        <v>0</v>
      </c>
      <c r="O1843" s="4"/>
      <c r="P1843" s="4"/>
      <c r="Q1843" s="11">
        <v>0</v>
      </c>
      <c r="R1843" s="4"/>
      <c r="S1843" s="12"/>
    </row>
    <row r="1844" spans="1:19" x14ac:dyDescent="0.25">
      <c r="A1844" s="9" t="s">
        <v>485</v>
      </c>
      <c r="B1844" s="9" t="s">
        <v>485</v>
      </c>
      <c r="C1844" s="4">
        <v>201004763</v>
      </c>
      <c r="D1844" s="4" t="s">
        <v>2122</v>
      </c>
      <c r="E1844" s="4" t="str">
        <f>"095222010"</f>
        <v>095222010</v>
      </c>
      <c r="F1844" s="10">
        <v>40382</v>
      </c>
      <c r="G1844" s="11">
        <v>18000</v>
      </c>
      <c r="H1844" s="11">
        <v>18000</v>
      </c>
      <c r="I1844" s="4" t="s">
        <v>366</v>
      </c>
      <c r="J1844" s="4" t="s">
        <v>367</v>
      </c>
      <c r="K1844" s="11">
        <v>0</v>
      </c>
      <c r="L1844" s="4"/>
      <c r="M1844" s="4"/>
      <c r="N1844" s="11">
        <v>0</v>
      </c>
      <c r="O1844" s="4"/>
      <c r="P1844" s="4"/>
      <c r="Q1844" s="11">
        <v>0</v>
      </c>
      <c r="R1844" s="4"/>
      <c r="S1844" s="12"/>
    </row>
    <row r="1845" spans="1:19" x14ac:dyDescent="0.25">
      <c r="A1845" s="9" t="s">
        <v>485</v>
      </c>
      <c r="B1845" s="9" t="s">
        <v>485</v>
      </c>
      <c r="C1845" s="4">
        <v>201004776</v>
      </c>
      <c r="D1845" s="4"/>
      <c r="E1845" s="4" t="str">
        <f>"096052010"</f>
        <v>096052010</v>
      </c>
      <c r="F1845" s="10">
        <v>40387</v>
      </c>
      <c r="G1845" s="11">
        <v>3215.63</v>
      </c>
      <c r="H1845" s="11">
        <v>3215.63</v>
      </c>
      <c r="I1845" s="4" t="s">
        <v>366</v>
      </c>
      <c r="J1845" s="4" t="s">
        <v>367</v>
      </c>
      <c r="K1845" s="11">
        <v>0</v>
      </c>
      <c r="L1845" s="4"/>
      <c r="M1845" s="4"/>
      <c r="N1845" s="11">
        <v>0</v>
      </c>
      <c r="O1845" s="4"/>
      <c r="P1845" s="4"/>
      <c r="Q1845" s="11">
        <v>0</v>
      </c>
      <c r="R1845" s="4"/>
      <c r="S1845" s="12"/>
    </row>
    <row r="1846" spans="1:19" x14ac:dyDescent="0.25">
      <c r="A1846" s="9" t="s">
        <v>485</v>
      </c>
      <c r="B1846" s="9" t="s">
        <v>485</v>
      </c>
      <c r="C1846" s="4">
        <v>201004791</v>
      </c>
      <c r="D1846" s="4" t="s">
        <v>2123</v>
      </c>
      <c r="E1846" s="4" t="str">
        <f>"096192010"</f>
        <v>096192010</v>
      </c>
      <c r="F1846" s="10">
        <v>40387</v>
      </c>
      <c r="G1846" s="11">
        <v>15000</v>
      </c>
      <c r="H1846" s="11">
        <v>15000</v>
      </c>
      <c r="I1846" s="4" t="s">
        <v>687</v>
      </c>
      <c r="J1846" s="4" t="s">
        <v>688</v>
      </c>
      <c r="K1846" s="11">
        <v>0</v>
      </c>
      <c r="L1846" s="4"/>
      <c r="M1846" s="4"/>
      <c r="N1846" s="11">
        <v>0</v>
      </c>
      <c r="O1846" s="4"/>
      <c r="P1846" s="4"/>
      <c r="Q1846" s="11">
        <v>0</v>
      </c>
      <c r="R1846" s="4"/>
      <c r="S1846" s="12"/>
    </row>
    <row r="1847" spans="1:19" x14ac:dyDescent="0.25">
      <c r="A1847" s="9" t="s">
        <v>485</v>
      </c>
      <c r="B1847" s="9" t="s">
        <v>485</v>
      </c>
      <c r="C1847" s="4">
        <v>201004796</v>
      </c>
      <c r="D1847" s="4" t="s">
        <v>2124</v>
      </c>
      <c r="E1847" s="4" t="str">
        <f>"096652010"</f>
        <v>096652010</v>
      </c>
      <c r="F1847" s="10">
        <v>40387</v>
      </c>
      <c r="G1847" s="11">
        <v>13500</v>
      </c>
      <c r="H1847" s="11">
        <v>13500</v>
      </c>
      <c r="I1847" s="4" t="s">
        <v>366</v>
      </c>
      <c r="J1847" s="4" t="s">
        <v>367</v>
      </c>
      <c r="K1847" s="11">
        <v>0</v>
      </c>
      <c r="L1847" s="4"/>
      <c r="M1847" s="4"/>
      <c r="N1847" s="11">
        <v>0</v>
      </c>
      <c r="O1847" s="4"/>
      <c r="P1847" s="4"/>
      <c r="Q1847" s="11">
        <v>0</v>
      </c>
      <c r="R1847" s="4"/>
      <c r="S1847" s="12"/>
    </row>
    <row r="1848" spans="1:19" x14ac:dyDescent="0.25">
      <c r="A1848" s="9" t="s">
        <v>485</v>
      </c>
      <c r="B1848" s="9" t="s">
        <v>485</v>
      </c>
      <c r="C1848" s="4">
        <v>201004812</v>
      </c>
      <c r="D1848" s="4"/>
      <c r="E1848" s="4" t="str">
        <f>"099432010"</f>
        <v>099432010</v>
      </c>
      <c r="F1848" s="10">
        <v>40396</v>
      </c>
      <c r="G1848" s="11">
        <v>4666</v>
      </c>
      <c r="H1848" s="11">
        <v>4666</v>
      </c>
      <c r="I1848" s="4" t="s">
        <v>366</v>
      </c>
      <c r="J1848" s="4" t="s">
        <v>367</v>
      </c>
      <c r="K1848" s="11">
        <v>0</v>
      </c>
      <c r="L1848" s="4"/>
      <c r="M1848" s="4"/>
      <c r="N1848" s="11">
        <v>0</v>
      </c>
      <c r="O1848" s="4"/>
      <c r="P1848" s="4"/>
      <c r="Q1848" s="11">
        <v>0</v>
      </c>
      <c r="R1848" s="4"/>
      <c r="S1848" s="12"/>
    </row>
    <row r="1849" spans="1:19" x14ac:dyDescent="0.25">
      <c r="A1849" s="9" t="s">
        <v>485</v>
      </c>
      <c r="B1849" s="9" t="s">
        <v>485</v>
      </c>
      <c r="C1849" s="4">
        <v>201004813</v>
      </c>
      <c r="D1849" s="4"/>
      <c r="E1849" s="4" t="str">
        <f>"096532010"</f>
        <v>096532010</v>
      </c>
      <c r="F1849" s="10">
        <v>40387</v>
      </c>
      <c r="G1849" s="11">
        <v>15768.41</v>
      </c>
      <c r="H1849" s="11">
        <v>15768.41</v>
      </c>
      <c r="I1849" s="4" t="s">
        <v>366</v>
      </c>
      <c r="J1849" s="4" t="s">
        <v>367</v>
      </c>
      <c r="K1849" s="11">
        <v>0</v>
      </c>
      <c r="L1849" s="4"/>
      <c r="M1849" s="4"/>
      <c r="N1849" s="11">
        <v>0</v>
      </c>
      <c r="O1849" s="4"/>
      <c r="P1849" s="4"/>
      <c r="Q1849" s="11">
        <v>0</v>
      </c>
      <c r="R1849" s="4"/>
      <c r="S1849" s="12"/>
    </row>
    <row r="1850" spans="1:19" x14ac:dyDescent="0.25">
      <c r="A1850" s="9" t="s">
        <v>485</v>
      </c>
      <c r="B1850" s="9" t="s">
        <v>485</v>
      </c>
      <c r="C1850" s="4">
        <v>201004819</v>
      </c>
      <c r="D1850" s="4"/>
      <c r="E1850" s="4" t="str">
        <f>"096752010"</f>
        <v>096752010</v>
      </c>
      <c r="F1850" s="10">
        <v>40387</v>
      </c>
      <c r="G1850" s="11">
        <v>4163.03</v>
      </c>
      <c r="H1850" s="11">
        <v>4163.03</v>
      </c>
      <c r="I1850" s="4" t="s">
        <v>54</v>
      </c>
      <c r="J1850" s="4" t="s">
        <v>55</v>
      </c>
      <c r="K1850" s="11">
        <v>0</v>
      </c>
      <c r="L1850" s="4"/>
      <c r="M1850" s="4"/>
      <c r="N1850" s="11">
        <v>0</v>
      </c>
      <c r="O1850" s="4"/>
      <c r="P1850" s="4"/>
      <c r="Q1850" s="11">
        <v>0</v>
      </c>
      <c r="R1850" s="4"/>
      <c r="S1850" s="12"/>
    </row>
    <row r="1851" spans="1:19" x14ac:dyDescent="0.25">
      <c r="A1851" s="9" t="s">
        <v>485</v>
      </c>
      <c r="B1851" s="9" t="s">
        <v>485</v>
      </c>
      <c r="C1851" s="4">
        <v>201004824</v>
      </c>
      <c r="D1851" s="4"/>
      <c r="E1851" s="4" t="str">
        <f>"096592010"</f>
        <v>096592010</v>
      </c>
      <c r="F1851" s="10">
        <v>40387</v>
      </c>
      <c r="G1851" s="11">
        <v>4122.09</v>
      </c>
      <c r="H1851" s="11">
        <v>4122.09</v>
      </c>
      <c r="I1851" s="4" t="s">
        <v>366</v>
      </c>
      <c r="J1851" s="4" t="s">
        <v>367</v>
      </c>
      <c r="K1851" s="11">
        <v>0</v>
      </c>
      <c r="L1851" s="4"/>
      <c r="M1851" s="4"/>
      <c r="N1851" s="11">
        <v>0</v>
      </c>
      <c r="O1851" s="4"/>
      <c r="P1851" s="4"/>
      <c r="Q1851" s="11">
        <v>0</v>
      </c>
      <c r="R1851" s="4"/>
      <c r="S1851" s="12"/>
    </row>
    <row r="1852" spans="1:19" x14ac:dyDescent="0.25">
      <c r="A1852" s="9" t="s">
        <v>485</v>
      </c>
      <c r="B1852" s="9" t="s">
        <v>485</v>
      </c>
      <c r="C1852" s="4">
        <v>201004842</v>
      </c>
      <c r="D1852" s="4"/>
      <c r="E1852" s="4" t="str">
        <f>"097202010"</f>
        <v>097202010</v>
      </c>
      <c r="F1852" s="10">
        <v>40394</v>
      </c>
      <c r="G1852" s="11">
        <v>8728.7099999999991</v>
      </c>
      <c r="H1852" s="11">
        <v>8728.7099999999991</v>
      </c>
      <c r="I1852" s="4" t="s">
        <v>366</v>
      </c>
      <c r="J1852" s="4" t="s">
        <v>367</v>
      </c>
      <c r="K1852" s="11">
        <v>0</v>
      </c>
      <c r="L1852" s="4"/>
      <c r="M1852" s="4"/>
      <c r="N1852" s="11">
        <v>0</v>
      </c>
      <c r="O1852" s="4"/>
      <c r="P1852" s="4"/>
      <c r="Q1852" s="11">
        <v>0</v>
      </c>
      <c r="R1852" s="4"/>
      <c r="S1852" s="12"/>
    </row>
    <row r="1853" spans="1:19" x14ac:dyDescent="0.25">
      <c r="A1853" s="9" t="s">
        <v>485</v>
      </c>
      <c r="B1853" s="9" t="s">
        <v>485</v>
      </c>
      <c r="C1853" s="4">
        <v>201004851</v>
      </c>
      <c r="D1853" s="4"/>
      <c r="E1853" s="4" t="str">
        <f>"097912010"</f>
        <v>097912010</v>
      </c>
      <c r="F1853" s="10">
        <v>40394</v>
      </c>
      <c r="G1853" s="11">
        <v>2995</v>
      </c>
      <c r="H1853" s="11">
        <v>2995</v>
      </c>
      <c r="I1853" s="4" t="s">
        <v>366</v>
      </c>
      <c r="J1853" s="4" t="s">
        <v>367</v>
      </c>
      <c r="K1853" s="11">
        <v>0</v>
      </c>
      <c r="L1853" s="4"/>
      <c r="M1853" s="4"/>
      <c r="N1853" s="11">
        <v>0</v>
      </c>
      <c r="O1853" s="4"/>
      <c r="P1853" s="4"/>
      <c r="Q1853" s="11">
        <v>0</v>
      </c>
      <c r="R1853" s="4"/>
      <c r="S1853" s="12"/>
    </row>
    <row r="1854" spans="1:19" x14ac:dyDescent="0.25">
      <c r="A1854" s="9" t="s">
        <v>485</v>
      </c>
      <c r="B1854" s="9" t="s">
        <v>485</v>
      </c>
      <c r="C1854" s="4">
        <v>201004852</v>
      </c>
      <c r="D1854" s="4"/>
      <c r="E1854" s="4" t="str">
        <f>"100692010"</f>
        <v>100692010</v>
      </c>
      <c r="F1854" s="10">
        <v>40403</v>
      </c>
      <c r="G1854" s="11">
        <v>7500</v>
      </c>
      <c r="H1854" s="11">
        <v>7500</v>
      </c>
      <c r="I1854" s="4" t="s">
        <v>366</v>
      </c>
      <c r="J1854" s="4" t="s">
        <v>367</v>
      </c>
      <c r="K1854" s="11">
        <v>0</v>
      </c>
      <c r="L1854" s="4"/>
      <c r="M1854" s="4"/>
      <c r="N1854" s="11">
        <v>0</v>
      </c>
      <c r="O1854" s="4"/>
      <c r="P1854" s="4"/>
      <c r="Q1854" s="11">
        <v>0</v>
      </c>
      <c r="R1854" s="4"/>
      <c r="S1854" s="12"/>
    </row>
    <row r="1855" spans="1:19" x14ac:dyDescent="0.25">
      <c r="A1855" s="9" t="s">
        <v>485</v>
      </c>
      <c r="B1855" s="9" t="s">
        <v>485</v>
      </c>
      <c r="C1855" s="4">
        <v>201004854</v>
      </c>
      <c r="D1855" s="4"/>
      <c r="E1855" s="4" t="str">
        <f>"100022010"</f>
        <v>100022010</v>
      </c>
      <c r="F1855" s="10">
        <v>40401</v>
      </c>
      <c r="G1855" s="11">
        <v>23282</v>
      </c>
      <c r="H1855" s="11">
        <v>23282</v>
      </c>
      <c r="I1855" s="4" t="s">
        <v>366</v>
      </c>
      <c r="J1855" s="4" t="s">
        <v>367</v>
      </c>
      <c r="K1855" s="11">
        <v>0</v>
      </c>
      <c r="L1855" s="4"/>
      <c r="M1855" s="4"/>
      <c r="N1855" s="11">
        <v>0</v>
      </c>
      <c r="O1855" s="4"/>
      <c r="P1855" s="4"/>
      <c r="Q1855" s="11">
        <v>0</v>
      </c>
      <c r="R1855" s="4"/>
      <c r="S1855" s="12"/>
    </row>
    <row r="1856" spans="1:19" x14ac:dyDescent="0.25">
      <c r="A1856" s="9" t="s">
        <v>485</v>
      </c>
      <c r="B1856" s="9" t="s">
        <v>485</v>
      </c>
      <c r="C1856" s="4">
        <v>201004871</v>
      </c>
      <c r="D1856" s="4"/>
      <c r="E1856" s="4" t="str">
        <f>"099372010"</f>
        <v>099372010</v>
      </c>
      <c r="F1856" s="10">
        <v>40396</v>
      </c>
      <c r="G1856" s="11">
        <v>2941</v>
      </c>
      <c r="H1856" s="11">
        <v>2941</v>
      </c>
      <c r="I1856" s="4" t="s">
        <v>366</v>
      </c>
      <c r="J1856" s="4" t="s">
        <v>367</v>
      </c>
      <c r="K1856" s="11">
        <v>0</v>
      </c>
      <c r="L1856" s="4"/>
      <c r="M1856" s="4"/>
      <c r="N1856" s="11">
        <v>0</v>
      </c>
      <c r="O1856" s="4"/>
      <c r="P1856" s="4"/>
      <c r="Q1856" s="11">
        <v>0</v>
      </c>
      <c r="R1856" s="4"/>
      <c r="S1856" s="12"/>
    </row>
    <row r="1857" spans="1:19" x14ac:dyDescent="0.25">
      <c r="A1857" s="9" t="s">
        <v>485</v>
      </c>
      <c r="B1857" s="9" t="s">
        <v>485</v>
      </c>
      <c r="C1857" s="4">
        <v>201004876</v>
      </c>
      <c r="D1857" s="4" t="s">
        <v>2125</v>
      </c>
      <c r="E1857" s="4" t="str">
        <f>"100082010"</f>
        <v>100082010</v>
      </c>
      <c r="F1857" s="10">
        <v>40401</v>
      </c>
      <c r="G1857" s="11">
        <v>300000</v>
      </c>
      <c r="H1857" s="11">
        <v>300000</v>
      </c>
      <c r="I1857" s="4" t="s">
        <v>687</v>
      </c>
      <c r="J1857" s="4" t="s">
        <v>688</v>
      </c>
      <c r="K1857" s="11">
        <v>0</v>
      </c>
      <c r="L1857" s="4"/>
      <c r="M1857" s="4"/>
      <c r="N1857" s="11">
        <v>0</v>
      </c>
      <c r="O1857" s="4"/>
      <c r="P1857" s="4"/>
      <c r="Q1857" s="11">
        <v>0</v>
      </c>
      <c r="R1857" s="4"/>
      <c r="S1857" s="12"/>
    </row>
    <row r="1858" spans="1:19" x14ac:dyDescent="0.25">
      <c r="A1858" s="9" t="s">
        <v>485</v>
      </c>
      <c r="B1858" s="9" t="s">
        <v>485</v>
      </c>
      <c r="C1858" s="4">
        <v>201004881</v>
      </c>
      <c r="D1858" s="4" t="s">
        <v>2126</v>
      </c>
      <c r="E1858" s="4" t="str">
        <f>"097932010"</f>
        <v>097932010</v>
      </c>
      <c r="F1858" s="10">
        <v>40393</v>
      </c>
      <c r="G1858" s="11">
        <v>15000</v>
      </c>
      <c r="H1858" s="11">
        <v>15000</v>
      </c>
      <c r="I1858" s="4" t="s">
        <v>366</v>
      </c>
      <c r="J1858" s="4" t="s">
        <v>367</v>
      </c>
      <c r="K1858" s="11">
        <v>0</v>
      </c>
      <c r="L1858" s="4"/>
      <c r="M1858" s="4"/>
      <c r="N1858" s="11">
        <v>0</v>
      </c>
      <c r="O1858" s="4"/>
      <c r="P1858" s="4"/>
      <c r="Q1858" s="11">
        <v>0</v>
      </c>
      <c r="R1858" s="4"/>
      <c r="S1858" s="12"/>
    </row>
    <row r="1859" spans="1:19" x14ac:dyDescent="0.25">
      <c r="A1859" s="9" t="s">
        <v>485</v>
      </c>
      <c r="B1859" s="9" t="s">
        <v>485</v>
      </c>
      <c r="C1859" s="4">
        <v>201004888</v>
      </c>
      <c r="D1859" s="4"/>
      <c r="E1859" s="4" t="str">
        <f>"099832010"</f>
        <v>099832010</v>
      </c>
      <c r="F1859" s="10">
        <v>40406</v>
      </c>
      <c r="G1859" s="11">
        <v>10105.18</v>
      </c>
      <c r="H1859" s="11">
        <v>10105.18</v>
      </c>
      <c r="I1859" s="4" t="s">
        <v>366</v>
      </c>
      <c r="J1859" s="4" t="s">
        <v>367</v>
      </c>
      <c r="K1859" s="11">
        <v>0</v>
      </c>
      <c r="L1859" s="4"/>
      <c r="M1859" s="4"/>
      <c r="N1859" s="11">
        <v>0</v>
      </c>
      <c r="O1859" s="4"/>
      <c r="P1859" s="4"/>
      <c r="Q1859" s="11">
        <v>0</v>
      </c>
      <c r="R1859" s="4"/>
      <c r="S1859" s="12"/>
    </row>
    <row r="1860" spans="1:19" x14ac:dyDescent="0.25">
      <c r="A1860" s="9" t="s">
        <v>485</v>
      </c>
      <c r="B1860" s="9" t="s">
        <v>485</v>
      </c>
      <c r="C1860" s="4">
        <v>201004912</v>
      </c>
      <c r="D1860" s="4"/>
      <c r="E1860" s="4" t="str">
        <f>"105112010"</f>
        <v>105112010</v>
      </c>
      <c r="F1860" s="10">
        <v>40415</v>
      </c>
      <c r="G1860" s="11">
        <v>3347.42</v>
      </c>
      <c r="H1860" s="11">
        <v>3347.42</v>
      </c>
      <c r="I1860" s="4" t="s">
        <v>931</v>
      </c>
      <c r="J1860" s="4" t="s">
        <v>932</v>
      </c>
      <c r="K1860" s="11">
        <v>0</v>
      </c>
      <c r="L1860" s="4"/>
      <c r="M1860" s="4"/>
      <c r="N1860" s="11">
        <v>0</v>
      </c>
      <c r="O1860" s="4"/>
      <c r="P1860" s="4"/>
      <c r="Q1860" s="11">
        <v>0</v>
      </c>
      <c r="R1860" s="4"/>
      <c r="S1860" s="12"/>
    </row>
    <row r="1861" spans="1:19" x14ac:dyDescent="0.25">
      <c r="A1861" s="9" t="s">
        <v>485</v>
      </c>
      <c r="B1861" s="9" t="s">
        <v>485</v>
      </c>
      <c r="C1861" s="4">
        <v>201004913</v>
      </c>
      <c r="D1861" s="4"/>
      <c r="E1861" s="4" t="str">
        <f>"098402010"</f>
        <v>098402010</v>
      </c>
      <c r="F1861" s="10">
        <v>40394</v>
      </c>
      <c r="G1861" s="11">
        <v>2624.79</v>
      </c>
      <c r="H1861" s="11">
        <v>2624.79</v>
      </c>
      <c r="I1861" s="4" t="s">
        <v>366</v>
      </c>
      <c r="J1861" s="4" t="s">
        <v>367</v>
      </c>
      <c r="K1861" s="11">
        <v>0</v>
      </c>
      <c r="L1861" s="4"/>
      <c r="M1861" s="4"/>
      <c r="N1861" s="11">
        <v>0</v>
      </c>
      <c r="O1861" s="4"/>
      <c r="P1861" s="4"/>
      <c r="Q1861" s="11">
        <v>0</v>
      </c>
      <c r="R1861" s="4"/>
      <c r="S1861" s="12"/>
    </row>
    <row r="1862" spans="1:19" x14ac:dyDescent="0.25">
      <c r="A1862" s="9" t="s">
        <v>485</v>
      </c>
      <c r="B1862" s="9" t="s">
        <v>485</v>
      </c>
      <c r="C1862" s="4">
        <v>201004932</v>
      </c>
      <c r="D1862" s="4"/>
      <c r="E1862" s="4" t="str">
        <f>"098582010"</f>
        <v>098582010</v>
      </c>
      <c r="F1862" s="10">
        <v>40394</v>
      </c>
      <c r="G1862" s="11">
        <v>4347.3100000000004</v>
      </c>
      <c r="H1862" s="11">
        <v>4347.3100000000004</v>
      </c>
      <c r="I1862" s="4" t="s">
        <v>366</v>
      </c>
      <c r="J1862" s="4" t="s">
        <v>367</v>
      </c>
      <c r="K1862" s="11">
        <v>0</v>
      </c>
      <c r="L1862" s="4"/>
      <c r="M1862" s="4"/>
      <c r="N1862" s="11">
        <v>0</v>
      </c>
      <c r="O1862" s="4"/>
      <c r="P1862" s="4"/>
      <c r="Q1862" s="11">
        <v>0</v>
      </c>
      <c r="R1862" s="4"/>
      <c r="S1862" s="12"/>
    </row>
    <row r="1863" spans="1:19" x14ac:dyDescent="0.25">
      <c r="A1863" s="9" t="s">
        <v>485</v>
      </c>
      <c r="B1863" s="9" t="s">
        <v>485</v>
      </c>
      <c r="C1863" s="4">
        <v>201004949</v>
      </c>
      <c r="D1863" s="4"/>
      <c r="E1863" s="4" t="str">
        <f>"099492010"</f>
        <v>099492010</v>
      </c>
      <c r="F1863" s="10">
        <v>40396</v>
      </c>
      <c r="G1863" s="11">
        <v>4200</v>
      </c>
      <c r="H1863" s="11">
        <v>4200</v>
      </c>
      <c r="I1863" s="4" t="s">
        <v>366</v>
      </c>
      <c r="J1863" s="4" t="s">
        <v>367</v>
      </c>
      <c r="K1863" s="11">
        <v>0</v>
      </c>
      <c r="L1863" s="4"/>
      <c r="M1863" s="4"/>
      <c r="N1863" s="11">
        <v>0</v>
      </c>
      <c r="O1863" s="4"/>
      <c r="P1863" s="4"/>
      <c r="Q1863" s="11">
        <v>0</v>
      </c>
      <c r="R1863" s="4"/>
      <c r="S1863" s="12"/>
    </row>
    <row r="1864" spans="1:19" x14ac:dyDescent="0.25">
      <c r="A1864" s="9" t="s">
        <v>485</v>
      </c>
      <c r="B1864" s="9" t="s">
        <v>485</v>
      </c>
      <c r="C1864" s="4">
        <v>201004957</v>
      </c>
      <c r="D1864" s="4"/>
      <c r="E1864" s="4" t="str">
        <f>"099332010"</f>
        <v>099332010</v>
      </c>
      <c r="F1864" s="10">
        <v>40396</v>
      </c>
      <c r="G1864" s="11">
        <v>17171.509999999998</v>
      </c>
      <c r="H1864" s="11">
        <v>17171.509999999998</v>
      </c>
      <c r="I1864" s="4" t="s">
        <v>366</v>
      </c>
      <c r="J1864" s="4" t="s">
        <v>367</v>
      </c>
      <c r="K1864" s="11">
        <v>0</v>
      </c>
      <c r="L1864" s="4"/>
      <c r="M1864" s="4"/>
      <c r="N1864" s="11">
        <v>0</v>
      </c>
      <c r="O1864" s="4"/>
      <c r="P1864" s="4"/>
      <c r="Q1864" s="11">
        <v>0</v>
      </c>
      <c r="R1864" s="4"/>
      <c r="S1864" s="12"/>
    </row>
    <row r="1865" spans="1:19" x14ac:dyDescent="0.25">
      <c r="A1865" s="9" t="s">
        <v>485</v>
      </c>
      <c r="B1865" s="9" t="s">
        <v>485</v>
      </c>
      <c r="C1865" s="4">
        <v>201004965</v>
      </c>
      <c r="D1865" s="4"/>
      <c r="E1865" s="4" t="str">
        <f>"099532010"</f>
        <v>099532010</v>
      </c>
      <c r="F1865" s="10">
        <v>40396</v>
      </c>
      <c r="G1865" s="11">
        <v>12112.86</v>
      </c>
      <c r="H1865" s="11">
        <v>12112.86</v>
      </c>
      <c r="I1865" s="4" t="s">
        <v>366</v>
      </c>
      <c r="J1865" s="4" t="s">
        <v>367</v>
      </c>
      <c r="K1865" s="11">
        <v>0</v>
      </c>
      <c r="L1865" s="4"/>
      <c r="M1865" s="4"/>
      <c r="N1865" s="11">
        <v>0</v>
      </c>
      <c r="O1865" s="4"/>
      <c r="P1865" s="4"/>
      <c r="Q1865" s="11">
        <v>0</v>
      </c>
      <c r="R1865" s="4"/>
      <c r="S1865" s="12"/>
    </row>
    <row r="1866" spans="1:19" x14ac:dyDescent="0.25">
      <c r="A1866" s="9" t="s">
        <v>485</v>
      </c>
      <c r="B1866" s="9" t="s">
        <v>485</v>
      </c>
      <c r="C1866" s="4">
        <v>201004972</v>
      </c>
      <c r="D1866" s="4"/>
      <c r="E1866" s="4" t="str">
        <f>"107162010"</f>
        <v>107162010</v>
      </c>
      <c r="F1866" s="10">
        <v>40420</v>
      </c>
      <c r="G1866" s="11">
        <v>4527.97</v>
      </c>
      <c r="H1866" s="11">
        <v>4527.97</v>
      </c>
      <c r="I1866" s="4" t="s">
        <v>366</v>
      </c>
      <c r="J1866" s="4" t="s">
        <v>367</v>
      </c>
      <c r="K1866" s="11">
        <v>0</v>
      </c>
      <c r="L1866" s="4"/>
      <c r="M1866" s="4"/>
      <c r="N1866" s="11">
        <v>0</v>
      </c>
      <c r="O1866" s="4"/>
      <c r="P1866" s="4"/>
      <c r="Q1866" s="11">
        <v>0</v>
      </c>
      <c r="R1866" s="4"/>
      <c r="S1866" s="12"/>
    </row>
    <row r="1867" spans="1:19" x14ac:dyDescent="0.25">
      <c r="A1867" s="9" t="s">
        <v>485</v>
      </c>
      <c r="B1867" s="9" t="s">
        <v>485</v>
      </c>
      <c r="C1867" s="4">
        <v>201004974</v>
      </c>
      <c r="D1867" s="4"/>
      <c r="E1867" s="4" t="str">
        <f>"099312010"</f>
        <v>099312010</v>
      </c>
      <c r="F1867" s="10">
        <v>40396</v>
      </c>
      <c r="G1867" s="11">
        <v>2582.66</v>
      </c>
      <c r="H1867" s="11">
        <v>2582.66</v>
      </c>
      <c r="I1867" s="4" t="s">
        <v>366</v>
      </c>
      <c r="J1867" s="4" t="s">
        <v>367</v>
      </c>
      <c r="K1867" s="11">
        <v>0</v>
      </c>
      <c r="L1867" s="4"/>
      <c r="M1867" s="4"/>
      <c r="N1867" s="11">
        <v>0</v>
      </c>
      <c r="O1867" s="4"/>
      <c r="P1867" s="4"/>
      <c r="Q1867" s="11">
        <v>0</v>
      </c>
      <c r="R1867" s="4"/>
      <c r="S1867" s="12"/>
    </row>
    <row r="1868" spans="1:19" x14ac:dyDescent="0.25">
      <c r="A1868" s="9" t="s">
        <v>485</v>
      </c>
      <c r="B1868" s="9" t="s">
        <v>485</v>
      </c>
      <c r="C1868" s="4">
        <v>201004975</v>
      </c>
      <c r="D1868" s="4"/>
      <c r="E1868" s="4" t="str">
        <f>"101332010"</f>
        <v>101332010</v>
      </c>
      <c r="F1868" s="10">
        <v>40408</v>
      </c>
      <c r="G1868" s="11">
        <v>2856.54</v>
      </c>
      <c r="H1868" s="11">
        <v>2856.54</v>
      </c>
      <c r="I1868" s="4" t="s">
        <v>366</v>
      </c>
      <c r="J1868" s="4" t="s">
        <v>367</v>
      </c>
      <c r="K1868" s="11">
        <v>0</v>
      </c>
      <c r="L1868" s="4"/>
      <c r="M1868" s="4"/>
      <c r="N1868" s="11">
        <v>0</v>
      </c>
      <c r="O1868" s="4"/>
      <c r="P1868" s="4"/>
      <c r="Q1868" s="11">
        <v>0</v>
      </c>
      <c r="R1868" s="4"/>
      <c r="S1868" s="12"/>
    </row>
    <row r="1869" spans="1:19" x14ac:dyDescent="0.25">
      <c r="A1869" s="9" t="s">
        <v>485</v>
      </c>
      <c r="B1869" s="9" t="s">
        <v>485</v>
      </c>
      <c r="C1869" s="4">
        <v>201005006</v>
      </c>
      <c r="D1869" s="4"/>
      <c r="E1869" s="4" t="str">
        <f>"099412010"</f>
        <v>099412010</v>
      </c>
      <c r="F1869" s="10">
        <v>40396</v>
      </c>
      <c r="G1869" s="11">
        <v>4347.7</v>
      </c>
      <c r="H1869" s="11">
        <v>4347.7</v>
      </c>
      <c r="I1869" s="4" t="s">
        <v>366</v>
      </c>
      <c r="J1869" s="4" t="s">
        <v>367</v>
      </c>
      <c r="K1869" s="11">
        <v>0</v>
      </c>
      <c r="L1869" s="4"/>
      <c r="M1869" s="4"/>
      <c r="N1869" s="11">
        <v>0</v>
      </c>
      <c r="O1869" s="4"/>
      <c r="P1869" s="4"/>
      <c r="Q1869" s="11">
        <v>0</v>
      </c>
      <c r="R1869" s="4"/>
      <c r="S1869" s="12"/>
    </row>
    <row r="1870" spans="1:19" x14ac:dyDescent="0.25">
      <c r="A1870" s="9" t="s">
        <v>485</v>
      </c>
      <c r="B1870" s="9" t="s">
        <v>485</v>
      </c>
      <c r="C1870" s="4">
        <v>201005009</v>
      </c>
      <c r="D1870" s="4"/>
      <c r="E1870" s="4" t="str">
        <f>"104772010"</f>
        <v>104772010</v>
      </c>
      <c r="F1870" s="10">
        <v>40413</v>
      </c>
      <c r="G1870" s="11">
        <v>3336.7</v>
      </c>
      <c r="H1870" s="11">
        <v>3336.7</v>
      </c>
      <c r="I1870" s="4" t="s">
        <v>366</v>
      </c>
      <c r="J1870" s="4" t="s">
        <v>367</v>
      </c>
      <c r="K1870" s="11">
        <v>0</v>
      </c>
      <c r="L1870" s="4"/>
      <c r="M1870" s="4"/>
      <c r="N1870" s="11">
        <v>0</v>
      </c>
      <c r="O1870" s="4"/>
      <c r="P1870" s="4"/>
      <c r="Q1870" s="11">
        <v>0</v>
      </c>
      <c r="R1870" s="4"/>
      <c r="S1870" s="12"/>
    </row>
    <row r="1871" spans="1:19" x14ac:dyDescent="0.25">
      <c r="A1871" s="9" t="s">
        <v>485</v>
      </c>
      <c r="B1871" s="9" t="s">
        <v>485</v>
      </c>
      <c r="C1871" s="4">
        <v>201005053</v>
      </c>
      <c r="D1871" s="4" t="s">
        <v>2127</v>
      </c>
      <c r="E1871" s="4" t="str">
        <f>"102912010"</f>
        <v>102912010</v>
      </c>
      <c r="F1871" s="10">
        <v>40409</v>
      </c>
      <c r="G1871" s="11">
        <v>11000</v>
      </c>
      <c r="H1871" s="11">
        <v>11000</v>
      </c>
      <c r="I1871" s="4" t="s">
        <v>366</v>
      </c>
      <c r="J1871" s="4" t="s">
        <v>367</v>
      </c>
      <c r="K1871" s="11">
        <v>0</v>
      </c>
      <c r="L1871" s="4"/>
      <c r="M1871" s="4"/>
      <c r="N1871" s="11">
        <v>0</v>
      </c>
      <c r="O1871" s="4"/>
      <c r="P1871" s="4"/>
      <c r="Q1871" s="11">
        <v>0</v>
      </c>
      <c r="R1871" s="4"/>
      <c r="S1871" s="12"/>
    </row>
    <row r="1872" spans="1:19" x14ac:dyDescent="0.25">
      <c r="A1872" s="9" t="s">
        <v>485</v>
      </c>
      <c r="B1872" s="9" t="s">
        <v>485</v>
      </c>
      <c r="C1872" s="4">
        <v>201005065</v>
      </c>
      <c r="D1872" s="4"/>
      <c r="E1872" s="4" t="str">
        <f>"101192010"</f>
        <v>101192010</v>
      </c>
      <c r="F1872" s="10">
        <v>40407</v>
      </c>
      <c r="G1872" s="11">
        <v>4000</v>
      </c>
      <c r="H1872" s="11">
        <v>4000</v>
      </c>
      <c r="I1872" s="4" t="s">
        <v>366</v>
      </c>
      <c r="J1872" s="4" t="s">
        <v>367</v>
      </c>
      <c r="K1872" s="11">
        <v>0</v>
      </c>
      <c r="L1872" s="4"/>
      <c r="M1872" s="4"/>
      <c r="N1872" s="11">
        <v>0</v>
      </c>
      <c r="O1872" s="4"/>
      <c r="P1872" s="4"/>
      <c r="Q1872" s="11">
        <v>0</v>
      </c>
      <c r="R1872" s="4"/>
      <c r="S1872" s="12"/>
    </row>
    <row r="1873" spans="1:19" x14ac:dyDescent="0.25">
      <c r="A1873" s="9" t="s">
        <v>485</v>
      </c>
      <c r="B1873" s="9" t="s">
        <v>485</v>
      </c>
      <c r="C1873" s="4">
        <v>201005068</v>
      </c>
      <c r="D1873" s="4"/>
      <c r="E1873" s="4" t="str">
        <f>"107872010"</f>
        <v>107872010</v>
      </c>
      <c r="F1873" s="10">
        <v>40423</v>
      </c>
      <c r="G1873" s="11">
        <v>4500</v>
      </c>
      <c r="H1873" s="11">
        <v>4500</v>
      </c>
      <c r="I1873" s="4" t="s">
        <v>366</v>
      </c>
      <c r="J1873" s="4" t="s">
        <v>367</v>
      </c>
      <c r="K1873" s="11">
        <v>0</v>
      </c>
      <c r="L1873" s="4"/>
      <c r="M1873" s="4"/>
      <c r="N1873" s="11">
        <v>0</v>
      </c>
      <c r="O1873" s="4"/>
      <c r="P1873" s="4"/>
      <c r="Q1873" s="11">
        <v>0</v>
      </c>
      <c r="R1873" s="4"/>
      <c r="S1873" s="12"/>
    </row>
    <row r="1874" spans="1:19" x14ac:dyDescent="0.25">
      <c r="A1874" s="9" t="s">
        <v>485</v>
      </c>
      <c r="B1874" s="9" t="s">
        <v>485</v>
      </c>
      <c r="C1874" s="4">
        <v>201005073</v>
      </c>
      <c r="D1874" s="4"/>
      <c r="E1874" s="4" t="str">
        <f>"102692010"</f>
        <v>102692010</v>
      </c>
      <c r="F1874" s="10">
        <v>40409</v>
      </c>
      <c r="G1874" s="11">
        <v>3942.27</v>
      </c>
      <c r="H1874" s="11">
        <v>3942.27</v>
      </c>
      <c r="I1874" s="4" t="s">
        <v>366</v>
      </c>
      <c r="J1874" s="4" t="s">
        <v>367</v>
      </c>
      <c r="K1874" s="11">
        <v>0</v>
      </c>
      <c r="L1874" s="4"/>
      <c r="M1874" s="4"/>
      <c r="N1874" s="11">
        <v>0</v>
      </c>
      <c r="O1874" s="4"/>
      <c r="P1874" s="4"/>
      <c r="Q1874" s="11">
        <v>0</v>
      </c>
      <c r="R1874" s="4"/>
      <c r="S1874" s="12"/>
    </row>
    <row r="1875" spans="1:19" x14ac:dyDescent="0.25">
      <c r="A1875" s="9" t="s">
        <v>485</v>
      </c>
      <c r="B1875" s="9" t="s">
        <v>485</v>
      </c>
      <c r="C1875" s="4">
        <v>201005082</v>
      </c>
      <c r="D1875" s="4"/>
      <c r="E1875" s="4" t="str">
        <f>"101412010"</f>
        <v>101412010</v>
      </c>
      <c r="F1875" s="10">
        <v>40408</v>
      </c>
      <c r="G1875" s="11">
        <v>4363.87</v>
      </c>
      <c r="H1875" s="11">
        <v>4363.87</v>
      </c>
      <c r="I1875" s="4" t="s">
        <v>366</v>
      </c>
      <c r="J1875" s="4" t="s">
        <v>367</v>
      </c>
      <c r="K1875" s="11">
        <v>0</v>
      </c>
      <c r="L1875" s="4"/>
      <c r="M1875" s="4"/>
      <c r="N1875" s="11">
        <v>0</v>
      </c>
      <c r="O1875" s="4"/>
      <c r="P1875" s="4"/>
      <c r="Q1875" s="11">
        <v>0</v>
      </c>
      <c r="R1875" s="4"/>
      <c r="S1875" s="12"/>
    </row>
    <row r="1876" spans="1:19" x14ac:dyDescent="0.25">
      <c r="A1876" s="9" t="s">
        <v>485</v>
      </c>
      <c r="B1876" s="9" t="s">
        <v>485</v>
      </c>
      <c r="C1876" s="4">
        <v>201005089</v>
      </c>
      <c r="D1876" s="4"/>
      <c r="E1876" s="4" t="str">
        <f>"100292010"</f>
        <v>100292010</v>
      </c>
      <c r="F1876" s="10">
        <v>40402</v>
      </c>
      <c r="G1876" s="11">
        <v>10000</v>
      </c>
      <c r="H1876" s="11">
        <v>10000</v>
      </c>
      <c r="I1876" s="4" t="s">
        <v>366</v>
      </c>
      <c r="J1876" s="4" t="s">
        <v>367</v>
      </c>
      <c r="K1876" s="11">
        <v>0</v>
      </c>
      <c r="L1876" s="4"/>
      <c r="M1876" s="4"/>
      <c r="N1876" s="11">
        <v>0</v>
      </c>
      <c r="O1876" s="4"/>
      <c r="P1876" s="4"/>
      <c r="Q1876" s="11">
        <v>0</v>
      </c>
      <c r="R1876" s="4"/>
      <c r="S1876" s="12"/>
    </row>
    <row r="1877" spans="1:19" x14ac:dyDescent="0.25">
      <c r="A1877" s="9" t="s">
        <v>485</v>
      </c>
      <c r="B1877" s="9" t="s">
        <v>485</v>
      </c>
      <c r="C1877" s="4">
        <v>201005091</v>
      </c>
      <c r="D1877" s="4"/>
      <c r="E1877" s="4" t="str">
        <f>"100312010"</f>
        <v>100312010</v>
      </c>
      <c r="F1877" s="10">
        <v>40402</v>
      </c>
      <c r="G1877" s="11">
        <v>5000</v>
      </c>
      <c r="H1877" s="11">
        <v>5000</v>
      </c>
      <c r="I1877" s="4" t="s">
        <v>366</v>
      </c>
      <c r="J1877" s="4" t="s">
        <v>367</v>
      </c>
      <c r="K1877" s="11">
        <v>0</v>
      </c>
      <c r="L1877" s="4"/>
      <c r="M1877" s="4"/>
      <c r="N1877" s="11">
        <v>0</v>
      </c>
      <c r="O1877" s="4"/>
      <c r="P1877" s="4"/>
      <c r="Q1877" s="11">
        <v>0</v>
      </c>
      <c r="R1877" s="4"/>
      <c r="S1877" s="12"/>
    </row>
    <row r="1878" spans="1:19" x14ac:dyDescent="0.25">
      <c r="A1878" s="9" t="s">
        <v>485</v>
      </c>
      <c r="B1878" s="9" t="s">
        <v>485</v>
      </c>
      <c r="C1878" s="4">
        <v>201005099</v>
      </c>
      <c r="D1878" s="4"/>
      <c r="E1878" s="4" t="str">
        <f>"102712010"</f>
        <v>102712010</v>
      </c>
      <c r="F1878" s="10">
        <v>40409</v>
      </c>
      <c r="G1878" s="11">
        <v>3229.54</v>
      </c>
      <c r="H1878" s="11">
        <v>3229.54</v>
      </c>
      <c r="I1878" s="4" t="s">
        <v>366</v>
      </c>
      <c r="J1878" s="4" t="s">
        <v>367</v>
      </c>
      <c r="K1878" s="11">
        <v>0</v>
      </c>
      <c r="L1878" s="4"/>
      <c r="M1878" s="4"/>
      <c r="N1878" s="11">
        <v>0</v>
      </c>
      <c r="O1878" s="4"/>
      <c r="P1878" s="4"/>
      <c r="Q1878" s="11">
        <v>0</v>
      </c>
      <c r="R1878" s="4"/>
      <c r="S1878" s="12"/>
    </row>
    <row r="1879" spans="1:19" x14ac:dyDescent="0.25">
      <c r="A1879" s="9" t="s">
        <v>485</v>
      </c>
      <c r="B1879" s="9" t="s">
        <v>485</v>
      </c>
      <c r="C1879" s="4">
        <v>201005131</v>
      </c>
      <c r="D1879" s="4"/>
      <c r="E1879" s="4" t="str">
        <f>"102812010"</f>
        <v>102812010</v>
      </c>
      <c r="F1879" s="10">
        <v>40409</v>
      </c>
      <c r="G1879" s="11">
        <v>5853.5</v>
      </c>
      <c r="H1879" s="11">
        <v>5853.5</v>
      </c>
      <c r="I1879" s="4" t="s">
        <v>366</v>
      </c>
      <c r="J1879" s="4" t="s">
        <v>367</v>
      </c>
      <c r="K1879" s="11">
        <v>0</v>
      </c>
      <c r="L1879" s="4"/>
      <c r="M1879" s="4"/>
      <c r="N1879" s="11">
        <v>0</v>
      </c>
      <c r="O1879" s="4"/>
      <c r="P1879" s="4"/>
      <c r="Q1879" s="11">
        <v>0</v>
      </c>
      <c r="R1879" s="4"/>
      <c r="S1879" s="12"/>
    </row>
    <row r="1880" spans="1:19" x14ac:dyDescent="0.25">
      <c r="A1880" s="9" t="s">
        <v>485</v>
      </c>
      <c r="B1880" s="9" t="s">
        <v>485</v>
      </c>
      <c r="C1880" s="4">
        <v>201005147</v>
      </c>
      <c r="D1880" s="4" t="s">
        <v>2057</v>
      </c>
      <c r="E1880" s="4" t="str">
        <f>"103172010"</f>
        <v>103172010</v>
      </c>
      <c r="F1880" s="10">
        <v>40409</v>
      </c>
      <c r="G1880" s="11">
        <v>150000</v>
      </c>
      <c r="H1880" s="11">
        <v>150000</v>
      </c>
      <c r="I1880" s="4" t="s">
        <v>687</v>
      </c>
      <c r="J1880" s="4" t="s">
        <v>688</v>
      </c>
      <c r="K1880" s="11">
        <v>0</v>
      </c>
      <c r="L1880" s="4"/>
      <c r="M1880" s="4"/>
      <c r="N1880" s="11">
        <v>0</v>
      </c>
      <c r="O1880" s="4"/>
      <c r="P1880" s="4"/>
      <c r="Q1880" s="11">
        <v>0</v>
      </c>
      <c r="R1880" s="4"/>
      <c r="S1880" s="12"/>
    </row>
    <row r="1881" spans="1:19" x14ac:dyDescent="0.25">
      <c r="A1881" s="9" t="s">
        <v>485</v>
      </c>
      <c r="B1881" s="9" t="s">
        <v>485</v>
      </c>
      <c r="C1881" s="4">
        <v>201005148</v>
      </c>
      <c r="D1881" s="4" t="s">
        <v>2128</v>
      </c>
      <c r="E1881" s="4" t="str">
        <f>"102392010"</f>
        <v>102392010</v>
      </c>
      <c r="F1881" s="10">
        <v>40408</v>
      </c>
      <c r="G1881" s="11">
        <v>55000</v>
      </c>
      <c r="H1881" s="11">
        <v>55000</v>
      </c>
      <c r="I1881" s="4" t="s">
        <v>687</v>
      </c>
      <c r="J1881" s="4" t="s">
        <v>688</v>
      </c>
      <c r="K1881" s="11">
        <v>0</v>
      </c>
      <c r="L1881" s="4"/>
      <c r="M1881" s="4"/>
      <c r="N1881" s="11">
        <v>0</v>
      </c>
      <c r="O1881" s="4"/>
      <c r="P1881" s="4"/>
      <c r="Q1881" s="11">
        <v>0</v>
      </c>
      <c r="R1881" s="4"/>
      <c r="S1881" s="12"/>
    </row>
    <row r="1882" spans="1:19" x14ac:dyDescent="0.25">
      <c r="A1882" s="9" t="s">
        <v>485</v>
      </c>
      <c r="B1882" s="9" t="s">
        <v>485</v>
      </c>
      <c r="C1882" s="4">
        <v>201005160</v>
      </c>
      <c r="D1882" s="4"/>
      <c r="E1882" s="4" t="str">
        <f>"104252010"</f>
        <v>104252010</v>
      </c>
      <c r="F1882" s="10">
        <v>40413</v>
      </c>
      <c r="G1882" s="11">
        <v>20000</v>
      </c>
      <c r="H1882" s="11">
        <v>20000</v>
      </c>
      <c r="I1882" s="4" t="s">
        <v>687</v>
      </c>
      <c r="J1882" s="4" t="s">
        <v>688</v>
      </c>
      <c r="K1882" s="11">
        <v>0</v>
      </c>
      <c r="L1882" s="4"/>
      <c r="M1882" s="4"/>
      <c r="N1882" s="11">
        <v>0</v>
      </c>
      <c r="O1882" s="4"/>
      <c r="P1882" s="4"/>
      <c r="Q1882" s="11">
        <v>0</v>
      </c>
      <c r="R1882" s="4"/>
      <c r="S1882" s="12"/>
    </row>
    <row r="1883" spans="1:19" x14ac:dyDescent="0.25">
      <c r="A1883" s="9" t="s">
        <v>485</v>
      </c>
      <c r="B1883" s="9" t="s">
        <v>485</v>
      </c>
      <c r="C1883" s="4">
        <v>201005171</v>
      </c>
      <c r="D1883" s="4"/>
      <c r="E1883" s="4" t="str">
        <f>"105132010"</f>
        <v>105132010</v>
      </c>
      <c r="F1883" s="10">
        <v>40415</v>
      </c>
      <c r="G1883" s="11">
        <v>7523</v>
      </c>
      <c r="H1883" s="11">
        <v>7523</v>
      </c>
      <c r="I1883" s="4" t="s">
        <v>366</v>
      </c>
      <c r="J1883" s="4" t="s">
        <v>367</v>
      </c>
      <c r="K1883" s="11">
        <v>0</v>
      </c>
      <c r="L1883" s="4"/>
      <c r="M1883" s="4"/>
      <c r="N1883" s="11">
        <v>0</v>
      </c>
      <c r="O1883" s="4"/>
      <c r="P1883" s="4"/>
      <c r="Q1883" s="11">
        <v>0</v>
      </c>
      <c r="R1883" s="4"/>
      <c r="S1883" s="12"/>
    </row>
    <row r="1884" spans="1:19" x14ac:dyDescent="0.25">
      <c r="A1884" s="9" t="s">
        <v>485</v>
      </c>
      <c r="B1884" s="9" t="s">
        <v>485</v>
      </c>
      <c r="C1884" s="4">
        <v>201005175</v>
      </c>
      <c r="D1884" s="4"/>
      <c r="E1884" s="4" t="str">
        <f>"103332010"</f>
        <v>103332010</v>
      </c>
      <c r="F1884" s="10">
        <v>40409</v>
      </c>
      <c r="G1884" s="11">
        <v>3555.1</v>
      </c>
      <c r="H1884" s="11">
        <v>3555.1</v>
      </c>
      <c r="I1884" s="4" t="s">
        <v>366</v>
      </c>
      <c r="J1884" s="4" t="s">
        <v>367</v>
      </c>
      <c r="K1884" s="11">
        <v>0</v>
      </c>
      <c r="L1884" s="4"/>
      <c r="M1884" s="4"/>
      <c r="N1884" s="11">
        <v>0</v>
      </c>
      <c r="O1884" s="4"/>
      <c r="P1884" s="4"/>
      <c r="Q1884" s="11">
        <v>0</v>
      </c>
      <c r="R1884" s="4"/>
      <c r="S1884" s="12"/>
    </row>
    <row r="1885" spans="1:19" x14ac:dyDescent="0.25">
      <c r="A1885" s="9" t="s">
        <v>485</v>
      </c>
      <c r="B1885" s="9" t="s">
        <v>485</v>
      </c>
      <c r="C1885" s="4">
        <v>201005176</v>
      </c>
      <c r="D1885" s="4"/>
      <c r="E1885" s="4" t="str">
        <f>"103212010"</f>
        <v>103212010</v>
      </c>
      <c r="F1885" s="10">
        <v>40409</v>
      </c>
      <c r="G1885" s="11">
        <v>10009.700000000001</v>
      </c>
      <c r="H1885" s="11">
        <v>10009.700000000001</v>
      </c>
      <c r="I1885" s="4" t="s">
        <v>366</v>
      </c>
      <c r="J1885" s="4" t="s">
        <v>367</v>
      </c>
      <c r="K1885" s="11">
        <v>0</v>
      </c>
      <c r="L1885" s="4"/>
      <c r="M1885" s="4"/>
      <c r="N1885" s="11">
        <v>0</v>
      </c>
      <c r="O1885" s="4"/>
      <c r="P1885" s="4"/>
      <c r="Q1885" s="11">
        <v>0</v>
      </c>
      <c r="R1885" s="4"/>
      <c r="S1885" s="12"/>
    </row>
    <row r="1886" spans="1:19" x14ac:dyDescent="0.25">
      <c r="A1886" s="9" t="s">
        <v>485</v>
      </c>
      <c r="B1886" s="9" t="s">
        <v>485</v>
      </c>
      <c r="C1886" s="4">
        <v>201005179</v>
      </c>
      <c r="D1886" s="4"/>
      <c r="E1886" s="4" t="str">
        <f>"103352010"</f>
        <v>103352010</v>
      </c>
      <c r="F1886" s="10">
        <v>40409</v>
      </c>
      <c r="G1886" s="11">
        <v>4258</v>
      </c>
      <c r="H1886" s="11">
        <v>4258</v>
      </c>
      <c r="I1886" s="4" t="s">
        <v>366</v>
      </c>
      <c r="J1886" s="4" t="s">
        <v>367</v>
      </c>
      <c r="K1886" s="11">
        <v>0</v>
      </c>
      <c r="L1886" s="4"/>
      <c r="M1886" s="4"/>
      <c r="N1886" s="11">
        <v>0</v>
      </c>
      <c r="O1886" s="4"/>
      <c r="P1886" s="4"/>
      <c r="Q1886" s="11">
        <v>0</v>
      </c>
      <c r="R1886" s="4"/>
      <c r="S1886" s="12"/>
    </row>
    <row r="1887" spans="1:19" x14ac:dyDescent="0.25">
      <c r="A1887" s="9" t="s">
        <v>485</v>
      </c>
      <c r="B1887" s="9" t="s">
        <v>485</v>
      </c>
      <c r="C1887" s="4">
        <v>201005182</v>
      </c>
      <c r="D1887" s="4"/>
      <c r="E1887" s="4" t="str">
        <f>"109572010"</f>
        <v>109572010</v>
      </c>
      <c r="F1887" s="10">
        <v>40430</v>
      </c>
      <c r="G1887" s="11">
        <v>2812.12</v>
      </c>
      <c r="H1887" s="11">
        <v>2812.12</v>
      </c>
      <c r="I1887" s="4" t="s">
        <v>366</v>
      </c>
      <c r="J1887" s="4" t="s">
        <v>367</v>
      </c>
      <c r="K1887" s="11">
        <v>0</v>
      </c>
      <c r="L1887" s="4"/>
      <c r="M1887" s="4"/>
      <c r="N1887" s="11">
        <v>0</v>
      </c>
      <c r="O1887" s="4"/>
      <c r="P1887" s="4"/>
      <c r="Q1887" s="11">
        <v>0</v>
      </c>
      <c r="R1887" s="4"/>
      <c r="S1887" s="12"/>
    </row>
    <row r="1888" spans="1:19" x14ac:dyDescent="0.25">
      <c r="A1888" s="9" t="s">
        <v>485</v>
      </c>
      <c r="B1888" s="9" t="s">
        <v>485</v>
      </c>
      <c r="C1888" s="4">
        <v>201005183</v>
      </c>
      <c r="D1888" s="4"/>
      <c r="E1888" s="4" t="str">
        <f>"103472010"</f>
        <v>103472010</v>
      </c>
      <c r="F1888" s="10">
        <v>40410</v>
      </c>
      <c r="G1888" s="11">
        <v>5390.9</v>
      </c>
      <c r="H1888" s="11">
        <v>5390.9</v>
      </c>
      <c r="I1888" s="4" t="s">
        <v>366</v>
      </c>
      <c r="J1888" s="4" t="s">
        <v>367</v>
      </c>
      <c r="K1888" s="11">
        <v>0</v>
      </c>
      <c r="L1888" s="4"/>
      <c r="M1888" s="4"/>
      <c r="N1888" s="11">
        <v>0</v>
      </c>
      <c r="O1888" s="4"/>
      <c r="P1888" s="4"/>
      <c r="Q1888" s="11">
        <v>0</v>
      </c>
      <c r="R1888" s="4"/>
      <c r="S1888" s="12"/>
    </row>
    <row r="1889" spans="1:19" x14ac:dyDescent="0.25">
      <c r="A1889" s="9" t="s">
        <v>485</v>
      </c>
      <c r="B1889" s="9" t="s">
        <v>485</v>
      </c>
      <c r="C1889" s="4">
        <v>201005184</v>
      </c>
      <c r="D1889" s="4"/>
      <c r="E1889" s="4" t="str">
        <f>"103672010"</f>
        <v>103672010</v>
      </c>
      <c r="F1889" s="10">
        <v>40410</v>
      </c>
      <c r="G1889" s="11">
        <v>21839.42</v>
      </c>
      <c r="H1889" s="11">
        <v>21839.42</v>
      </c>
      <c r="I1889" s="4" t="s">
        <v>38</v>
      </c>
      <c r="J1889" s="4" t="s">
        <v>39</v>
      </c>
      <c r="K1889" s="11">
        <v>0</v>
      </c>
      <c r="L1889" s="4"/>
      <c r="M1889" s="4"/>
      <c r="N1889" s="11">
        <v>0</v>
      </c>
      <c r="O1889" s="4"/>
      <c r="P1889" s="4"/>
      <c r="Q1889" s="11">
        <v>0</v>
      </c>
      <c r="R1889" s="4"/>
      <c r="S1889" s="12"/>
    </row>
    <row r="1890" spans="1:19" x14ac:dyDescent="0.25">
      <c r="A1890" s="9" t="s">
        <v>485</v>
      </c>
      <c r="B1890" s="9" t="s">
        <v>485</v>
      </c>
      <c r="C1890" s="4">
        <v>201005199</v>
      </c>
      <c r="D1890" s="4"/>
      <c r="E1890" s="4" t="str">
        <f>"110132010"</f>
        <v>110132010</v>
      </c>
      <c r="F1890" s="10">
        <v>40431</v>
      </c>
      <c r="G1890" s="11">
        <v>5232.1499999999996</v>
      </c>
      <c r="H1890" s="11">
        <v>5232.1499999999996</v>
      </c>
      <c r="I1890" s="4" t="s">
        <v>366</v>
      </c>
      <c r="J1890" s="4" t="s">
        <v>367</v>
      </c>
      <c r="K1890" s="11">
        <v>0</v>
      </c>
      <c r="L1890" s="4"/>
      <c r="M1890" s="4"/>
      <c r="N1890" s="11">
        <v>0</v>
      </c>
      <c r="O1890" s="4"/>
      <c r="P1890" s="4"/>
      <c r="Q1890" s="11">
        <v>0</v>
      </c>
      <c r="R1890" s="4"/>
      <c r="S1890" s="12"/>
    </row>
    <row r="1891" spans="1:19" x14ac:dyDescent="0.25">
      <c r="A1891" s="9" t="s">
        <v>485</v>
      </c>
      <c r="B1891" s="9" t="s">
        <v>485</v>
      </c>
      <c r="C1891" s="4">
        <v>201005203</v>
      </c>
      <c r="D1891" s="4" t="s">
        <v>2129</v>
      </c>
      <c r="E1891" s="4" t="str">
        <f>"105252010"</f>
        <v>105252010</v>
      </c>
      <c r="F1891" s="10">
        <v>40415</v>
      </c>
      <c r="G1891" s="11">
        <v>8100</v>
      </c>
      <c r="H1891" s="11">
        <v>8100</v>
      </c>
      <c r="I1891" s="4" t="s">
        <v>366</v>
      </c>
      <c r="J1891" s="4" t="s">
        <v>367</v>
      </c>
      <c r="K1891" s="11">
        <v>0</v>
      </c>
      <c r="L1891" s="4"/>
      <c r="M1891" s="4"/>
      <c r="N1891" s="11">
        <v>0</v>
      </c>
      <c r="O1891" s="4"/>
      <c r="P1891" s="4"/>
      <c r="Q1891" s="11">
        <v>0</v>
      </c>
      <c r="R1891" s="4"/>
      <c r="S1891" s="12"/>
    </row>
    <row r="1892" spans="1:19" x14ac:dyDescent="0.25">
      <c r="A1892" s="9" t="s">
        <v>485</v>
      </c>
      <c r="B1892" s="9" t="s">
        <v>485</v>
      </c>
      <c r="C1892" s="4">
        <v>201005209</v>
      </c>
      <c r="D1892" s="4" t="s">
        <v>2124</v>
      </c>
      <c r="E1892" s="4" t="str">
        <f>"103792010"</f>
        <v>103792010</v>
      </c>
      <c r="F1892" s="10">
        <v>40410</v>
      </c>
      <c r="G1892" s="11">
        <v>12500</v>
      </c>
      <c r="H1892" s="11">
        <v>12500</v>
      </c>
      <c r="I1892" s="4" t="s">
        <v>366</v>
      </c>
      <c r="J1892" s="4" t="s">
        <v>367</v>
      </c>
      <c r="K1892" s="11">
        <v>0</v>
      </c>
      <c r="L1892" s="4"/>
      <c r="M1892" s="4"/>
      <c r="N1892" s="11">
        <v>0</v>
      </c>
      <c r="O1892" s="4"/>
      <c r="P1892" s="4"/>
      <c r="Q1892" s="11">
        <v>0</v>
      </c>
      <c r="R1892" s="4"/>
      <c r="S1892" s="12"/>
    </row>
    <row r="1893" spans="1:19" x14ac:dyDescent="0.25">
      <c r="A1893" s="9" t="s">
        <v>485</v>
      </c>
      <c r="B1893" s="9" t="s">
        <v>485</v>
      </c>
      <c r="C1893" s="4">
        <v>201005212</v>
      </c>
      <c r="D1893" s="4"/>
      <c r="E1893" s="4" t="str">
        <f>"104072010"</f>
        <v>104072010</v>
      </c>
      <c r="F1893" s="10">
        <v>40413</v>
      </c>
      <c r="G1893" s="11">
        <v>6609.7</v>
      </c>
      <c r="H1893" s="11">
        <v>6609.7</v>
      </c>
      <c r="I1893" s="4" t="s">
        <v>366</v>
      </c>
      <c r="J1893" s="4" t="s">
        <v>367</v>
      </c>
      <c r="K1893" s="11">
        <v>0</v>
      </c>
      <c r="L1893" s="4"/>
      <c r="M1893" s="4"/>
      <c r="N1893" s="11">
        <v>0</v>
      </c>
      <c r="O1893" s="4"/>
      <c r="P1893" s="4"/>
      <c r="Q1893" s="11">
        <v>0</v>
      </c>
      <c r="R1893" s="4"/>
      <c r="S1893" s="12"/>
    </row>
    <row r="1894" spans="1:19" x14ac:dyDescent="0.25">
      <c r="A1894" s="9" t="s">
        <v>485</v>
      </c>
      <c r="B1894" s="9" t="s">
        <v>485</v>
      </c>
      <c r="C1894" s="4">
        <v>201005218</v>
      </c>
      <c r="D1894" s="4"/>
      <c r="E1894" s="4" t="str">
        <f>"104412010"</f>
        <v>104412010</v>
      </c>
      <c r="F1894" s="10">
        <v>40413</v>
      </c>
      <c r="G1894" s="11">
        <v>4033.88</v>
      </c>
      <c r="H1894" s="11">
        <v>4033.88</v>
      </c>
      <c r="I1894" s="4" t="s">
        <v>366</v>
      </c>
      <c r="J1894" s="4" t="s">
        <v>367</v>
      </c>
      <c r="K1894" s="11">
        <v>0</v>
      </c>
      <c r="L1894" s="4"/>
      <c r="M1894" s="4"/>
      <c r="N1894" s="11">
        <v>0</v>
      </c>
      <c r="O1894" s="4"/>
      <c r="P1894" s="4"/>
      <c r="Q1894" s="11">
        <v>0</v>
      </c>
      <c r="R1894" s="4"/>
      <c r="S1894" s="12"/>
    </row>
    <row r="1895" spans="1:19" x14ac:dyDescent="0.25">
      <c r="A1895" s="9" t="s">
        <v>485</v>
      </c>
      <c r="B1895" s="9" t="s">
        <v>485</v>
      </c>
      <c r="C1895" s="4">
        <v>201005221</v>
      </c>
      <c r="D1895" s="4"/>
      <c r="E1895" s="4" t="str">
        <f>"104112010"</f>
        <v>104112010</v>
      </c>
      <c r="F1895" s="10">
        <v>40413</v>
      </c>
      <c r="G1895" s="11">
        <v>6854.24</v>
      </c>
      <c r="H1895" s="11">
        <v>6854.24</v>
      </c>
      <c r="I1895" s="4" t="s">
        <v>366</v>
      </c>
      <c r="J1895" s="4" t="s">
        <v>367</v>
      </c>
      <c r="K1895" s="11">
        <v>0</v>
      </c>
      <c r="L1895" s="4"/>
      <c r="M1895" s="4"/>
      <c r="N1895" s="11">
        <v>0</v>
      </c>
      <c r="O1895" s="4"/>
      <c r="P1895" s="4"/>
      <c r="Q1895" s="11">
        <v>0</v>
      </c>
      <c r="R1895" s="4"/>
      <c r="S1895" s="12"/>
    </row>
    <row r="1896" spans="1:19" x14ac:dyDescent="0.25">
      <c r="A1896" s="9" t="s">
        <v>485</v>
      </c>
      <c r="B1896" s="9" t="s">
        <v>485</v>
      </c>
      <c r="C1896" s="4">
        <v>201005222</v>
      </c>
      <c r="D1896" s="4"/>
      <c r="E1896" s="4" t="str">
        <f>"104652010"</f>
        <v>104652010</v>
      </c>
      <c r="F1896" s="10">
        <v>40413</v>
      </c>
      <c r="G1896" s="11">
        <v>9124</v>
      </c>
      <c r="H1896" s="11">
        <v>9124</v>
      </c>
      <c r="I1896" s="4" t="s">
        <v>366</v>
      </c>
      <c r="J1896" s="4" t="s">
        <v>367</v>
      </c>
      <c r="K1896" s="11">
        <v>0</v>
      </c>
      <c r="L1896" s="4"/>
      <c r="M1896" s="4"/>
      <c r="N1896" s="11">
        <v>0</v>
      </c>
      <c r="O1896" s="4"/>
      <c r="P1896" s="4"/>
      <c r="Q1896" s="11">
        <v>0</v>
      </c>
      <c r="R1896" s="4"/>
      <c r="S1896" s="12"/>
    </row>
    <row r="1897" spans="1:19" x14ac:dyDescent="0.25">
      <c r="A1897" s="9" t="s">
        <v>485</v>
      </c>
      <c r="B1897" s="9" t="s">
        <v>485</v>
      </c>
      <c r="C1897" s="4">
        <v>201005225</v>
      </c>
      <c r="D1897" s="4"/>
      <c r="E1897" s="4" t="str">
        <f>"104512010"</f>
        <v>104512010</v>
      </c>
      <c r="F1897" s="10">
        <v>40413</v>
      </c>
      <c r="G1897" s="11">
        <v>2735.69</v>
      </c>
      <c r="H1897" s="11">
        <v>2735.69</v>
      </c>
      <c r="I1897" s="4" t="s">
        <v>366</v>
      </c>
      <c r="J1897" s="4" t="s">
        <v>367</v>
      </c>
      <c r="K1897" s="11">
        <v>0</v>
      </c>
      <c r="L1897" s="4"/>
      <c r="M1897" s="4"/>
      <c r="N1897" s="11">
        <v>0</v>
      </c>
      <c r="O1897" s="4"/>
      <c r="P1897" s="4"/>
      <c r="Q1897" s="11">
        <v>0</v>
      </c>
      <c r="R1897" s="4"/>
      <c r="S1897" s="12"/>
    </row>
    <row r="1898" spans="1:19" x14ac:dyDescent="0.25">
      <c r="A1898" s="9" t="s">
        <v>485</v>
      </c>
      <c r="B1898" s="9" t="s">
        <v>485</v>
      </c>
      <c r="C1898" s="4">
        <v>201005230</v>
      </c>
      <c r="D1898" s="4"/>
      <c r="E1898" s="4" t="str">
        <f>"103992010"</f>
        <v>103992010</v>
      </c>
      <c r="F1898" s="10">
        <v>40410</v>
      </c>
      <c r="G1898" s="11">
        <v>10549.55</v>
      </c>
      <c r="H1898" s="11">
        <v>10549.55</v>
      </c>
      <c r="I1898" s="4" t="s">
        <v>366</v>
      </c>
      <c r="J1898" s="4" t="s">
        <v>367</v>
      </c>
      <c r="K1898" s="11">
        <v>0</v>
      </c>
      <c r="L1898" s="4"/>
      <c r="M1898" s="4"/>
      <c r="N1898" s="11">
        <v>0</v>
      </c>
      <c r="O1898" s="4"/>
      <c r="P1898" s="4"/>
      <c r="Q1898" s="11">
        <v>0</v>
      </c>
      <c r="R1898" s="4"/>
      <c r="S1898" s="12"/>
    </row>
    <row r="1899" spans="1:19" x14ac:dyDescent="0.25">
      <c r="A1899" s="9" t="s">
        <v>485</v>
      </c>
      <c r="B1899" s="9" t="s">
        <v>485</v>
      </c>
      <c r="C1899" s="4">
        <v>201005252</v>
      </c>
      <c r="D1899" s="4"/>
      <c r="E1899" s="4" t="str">
        <f>"104912010"</f>
        <v>104912010</v>
      </c>
      <c r="F1899" s="10">
        <v>40415</v>
      </c>
      <c r="G1899" s="11">
        <v>2848.2</v>
      </c>
      <c r="H1899" s="11">
        <v>2848.2</v>
      </c>
      <c r="I1899" s="4" t="s">
        <v>366</v>
      </c>
      <c r="J1899" s="4" t="s">
        <v>367</v>
      </c>
      <c r="K1899" s="11">
        <v>0</v>
      </c>
      <c r="L1899" s="4"/>
      <c r="M1899" s="4"/>
      <c r="N1899" s="11">
        <v>0</v>
      </c>
      <c r="O1899" s="4"/>
      <c r="P1899" s="4"/>
      <c r="Q1899" s="11">
        <v>0</v>
      </c>
      <c r="R1899" s="4"/>
      <c r="S1899" s="12"/>
    </row>
    <row r="1900" spans="1:19" x14ac:dyDescent="0.25">
      <c r="A1900" s="9" t="s">
        <v>485</v>
      </c>
      <c r="B1900" s="9" t="s">
        <v>485</v>
      </c>
      <c r="C1900" s="4">
        <v>201005277</v>
      </c>
      <c r="D1900" s="4"/>
      <c r="E1900" s="4" t="str">
        <f>"109052010"</f>
        <v>109052010</v>
      </c>
      <c r="F1900" s="10">
        <v>40430</v>
      </c>
      <c r="G1900" s="11">
        <v>3863.7</v>
      </c>
      <c r="H1900" s="11">
        <v>3863.7</v>
      </c>
      <c r="I1900" s="4" t="s">
        <v>366</v>
      </c>
      <c r="J1900" s="4" t="s">
        <v>367</v>
      </c>
      <c r="K1900" s="11">
        <v>0</v>
      </c>
      <c r="L1900" s="4"/>
      <c r="M1900" s="4"/>
      <c r="N1900" s="11">
        <v>0</v>
      </c>
      <c r="O1900" s="4"/>
      <c r="P1900" s="4"/>
      <c r="Q1900" s="11">
        <v>0</v>
      </c>
      <c r="R1900" s="4"/>
      <c r="S1900" s="12"/>
    </row>
    <row r="1901" spans="1:19" x14ac:dyDescent="0.25">
      <c r="A1901" s="9" t="s">
        <v>485</v>
      </c>
      <c r="B1901" s="9" t="s">
        <v>485</v>
      </c>
      <c r="C1901" s="4">
        <v>201005286</v>
      </c>
      <c r="D1901" s="4"/>
      <c r="E1901" s="4" t="str">
        <f>"112822010"</f>
        <v>112822010</v>
      </c>
      <c r="F1901" s="10">
        <v>40443</v>
      </c>
      <c r="G1901" s="11">
        <v>7666.02</v>
      </c>
      <c r="H1901" s="11">
        <v>7666.02</v>
      </c>
      <c r="I1901" s="4" t="s">
        <v>366</v>
      </c>
      <c r="J1901" s="4" t="s">
        <v>367</v>
      </c>
      <c r="K1901" s="11">
        <v>0</v>
      </c>
      <c r="L1901" s="4"/>
      <c r="M1901" s="4"/>
      <c r="N1901" s="11">
        <v>0</v>
      </c>
      <c r="O1901" s="4"/>
      <c r="P1901" s="4"/>
      <c r="Q1901" s="11">
        <v>0</v>
      </c>
      <c r="R1901" s="4"/>
      <c r="S1901" s="12"/>
    </row>
    <row r="1902" spans="1:19" x14ac:dyDescent="0.25">
      <c r="A1902" s="9" t="s">
        <v>485</v>
      </c>
      <c r="B1902" s="9" t="s">
        <v>485</v>
      </c>
      <c r="C1902" s="4">
        <v>201005312</v>
      </c>
      <c r="D1902" s="4"/>
      <c r="E1902" s="4" t="str">
        <f>"109652010"</f>
        <v>109652010</v>
      </c>
      <c r="F1902" s="10">
        <v>40431</v>
      </c>
      <c r="G1902" s="11">
        <v>4295</v>
      </c>
      <c r="H1902" s="11">
        <v>4295</v>
      </c>
      <c r="I1902" s="4" t="s">
        <v>366</v>
      </c>
      <c r="J1902" s="4" t="s">
        <v>367</v>
      </c>
      <c r="K1902" s="11">
        <v>0</v>
      </c>
      <c r="L1902" s="4"/>
      <c r="M1902" s="4"/>
      <c r="N1902" s="11">
        <v>0</v>
      </c>
      <c r="O1902" s="4"/>
      <c r="P1902" s="4"/>
      <c r="Q1902" s="11">
        <v>0</v>
      </c>
      <c r="R1902" s="4"/>
      <c r="S1902" s="12"/>
    </row>
    <row r="1903" spans="1:19" x14ac:dyDescent="0.25">
      <c r="A1903" s="9" t="s">
        <v>485</v>
      </c>
      <c r="B1903" s="9" t="s">
        <v>485</v>
      </c>
      <c r="C1903" s="4">
        <v>201005329</v>
      </c>
      <c r="D1903" s="4"/>
      <c r="E1903" s="4" t="str">
        <f>"111212010"</f>
        <v>111212010</v>
      </c>
      <c r="F1903" s="10">
        <v>40436</v>
      </c>
      <c r="G1903" s="11">
        <v>10419.26</v>
      </c>
      <c r="H1903" s="11">
        <v>10419.26</v>
      </c>
      <c r="I1903" s="4" t="s">
        <v>366</v>
      </c>
      <c r="J1903" s="4" t="s">
        <v>367</v>
      </c>
      <c r="K1903" s="11">
        <v>0</v>
      </c>
      <c r="L1903" s="4"/>
      <c r="M1903" s="4"/>
      <c r="N1903" s="11">
        <v>0</v>
      </c>
      <c r="O1903" s="4"/>
      <c r="P1903" s="4"/>
      <c r="Q1903" s="11">
        <v>0</v>
      </c>
      <c r="R1903" s="4"/>
      <c r="S1903" s="12"/>
    </row>
    <row r="1904" spans="1:19" x14ac:dyDescent="0.25">
      <c r="A1904" s="9" t="s">
        <v>485</v>
      </c>
      <c r="B1904" s="9" t="s">
        <v>485</v>
      </c>
      <c r="C1904" s="4">
        <v>201005330</v>
      </c>
      <c r="D1904" s="4"/>
      <c r="E1904" s="4" t="str">
        <f>"105992010"</f>
        <v>105992010</v>
      </c>
      <c r="F1904" s="10">
        <v>40416</v>
      </c>
      <c r="G1904" s="11">
        <v>3606.13</v>
      </c>
      <c r="H1904" s="11">
        <v>3606.13</v>
      </c>
      <c r="I1904" s="4" t="s">
        <v>366</v>
      </c>
      <c r="J1904" s="4" t="s">
        <v>367</v>
      </c>
      <c r="K1904" s="11">
        <v>0</v>
      </c>
      <c r="L1904" s="4"/>
      <c r="M1904" s="4"/>
      <c r="N1904" s="11">
        <v>0</v>
      </c>
      <c r="O1904" s="4"/>
      <c r="P1904" s="4"/>
      <c r="Q1904" s="11">
        <v>0</v>
      </c>
      <c r="R1904" s="4"/>
      <c r="S1904" s="12"/>
    </row>
    <row r="1905" spans="1:19" x14ac:dyDescent="0.25">
      <c r="A1905" s="9" t="s">
        <v>485</v>
      </c>
      <c r="B1905" s="9" t="s">
        <v>485</v>
      </c>
      <c r="C1905" s="4">
        <v>201005335</v>
      </c>
      <c r="D1905" s="4"/>
      <c r="E1905" s="4" t="str">
        <f>"106032010"</f>
        <v>106032010</v>
      </c>
      <c r="F1905" s="10">
        <v>40417</v>
      </c>
      <c r="G1905" s="11">
        <v>2961.24</v>
      </c>
      <c r="H1905" s="11">
        <v>2961.24</v>
      </c>
      <c r="I1905" s="4" t="s">
        <v>366</v>
      </c>
      <c r="J1905" s="4" t="s">
        <v>367</v>
      </c>
      <c r="K1905" s="11">
        <v>0</v>
      </c>
      <c r="L1905" s="4"/>
      <c r="M1905" s="4"/>
      <c r="N1905" s="11">
        <v>0</v>
      </c>
      <c r="O1905" s="4"/>
      <c r="P1905" s="4"/>
      <c r="Q1905" s="11">
        <v>0</v>
      </c>
      <c r="R1905" s="4"/>
      <c r="S1905" s="12"/>
    </row>
    <row r="1906" spans="1:19" x14ac:dyDescent="0.25">
      <c r="A1906" s="9" t="s">
        <v>485</v>
      </c>
      <c r="B1906" s="9" t="s">
        <v>485</v>
      </c>
      <c r="C1906" s="4">
        <v>201005336</v>
      </c>
      <c r="D1906" s="4"/>
      <c r="E1906" s="4" t="str">
        <f>"106052010"</f>
        <v>106052010</v>
      </c>
      <c r="F1906" s="10">
        <v>40417</v>
      </c>
      <c r="G1906" s="11">
        <v>3831.97</v>
      </c>
      <c r="H1906" s="11">
        <v>3831.97</v>
      </c>
      <c r="I1906" s="4" t="s">
        <v>54</v>
      </c>
      <c r="J1906" s="4" t="s">
        <v>55</v>
      </c>
      <c r="K1906" s="11">
        <v>0</v>
      </c>
      <c r="L1906" s="4"/>
      <c r="M1906" s="4"/>
      <c r="N1906" s="11">
        <v>0</v>
      </c>
      <c r="O1906" s="4"/>
      <c r="P1906" s="4"/>
      <c r="Q1906" s="11">
        <v>0</v>
      </c>
      <c r="R1906" s="4"/>
      <c r="S1906" s="12"/>
    </row>
    <row r="1907" spans="1:19" x14ac:dyDescent="0.25">
      <c r="A1907" s="9" t="s">
        <v>485</v>
      </c>
      <c r="B1907" s="9" t="s">
        <v>485</v>
      </c>
      <c r="C1907" s="4">
        <v>201005348</v>
      </c>
      <c r="D1907" s="4" t="s">
        <v>2130</v>
      </c>
      <c r="E1907" s="4" t="str">
        <f>"112632010"</f>
        <v>112632010</v>
      </c>
      <c r="F1907" s="10">
        <v>40443</v>
      </c>
      <c r="G1907" s="11">
        <v>120000</v>
      </c>
      <c r="H1907" s="11">
        <v>120000</v>
      </c>
      <c r="I1907" s="4" t="s">
        <v>366</v>
      </c>
      <c r="J1907" s="4" t="s">
        <v>367</v>
      </c>
      <c r="K1907" s="11">
        <v>0</v>
      </c>
      <c r="L1907" s="4"/>
      <c r="M1907" s="4"/>
      <c r="N1907" s="11">
        <v>0</v>
      </c>
      <c r="O1907" s="4"/>
      <c r="P1907" s="4"/>
      <c r="Q1907" s="11">
        <v>0</v>
      </c>
      <c r="R1907" s="4"/>
      <c r="S1907" s="12"/>
    </row>
    <row r="1908" spans="1:19" x14ac:dyDescent="0.25">
      <c r="A1908" s="9" t="s">
        <v>485</v>
      </c>
      <c r="B1908" s="9" t="s">
        <v>485</v>
      </c>
      <c r="C1908" s="4">
        <v>201005350</v>
      </c>
      <c r="D1908" s="4" t="s">
        <v>2131</v>
      </c>
      <c r="E1908" s="4" t="str">
        <f>"107362010"</f>
        <v>107362010</v>
      </c>
      <c r="F1908" s="10">
        <v>40423</v>
      </c>
      <c r="G1908" s="11">
        <v>150000</v>
      </c>
      <c r="H1908" s="11">
        <v>150000</v>
      </c>
      <c r="I1908" s="4" t="s">
        <v>687</v>
      </c>
      <c r="J1908" s="4" t="s">
        <v>688</v>
      </c>
      <c r="K1908" s="11">
        <v>0</v>
      </c>
      <c r="L1908" s="4"/>
      <c r="M1908" s="4"/>
      <c r="N1908" s="11">
        <v>0</v>
      </c>
      <c r="O1908" s="4"/>
      <c r="P1908" s="4"/>
      <c r="Q1908" s="11">
        <v>0</v>
      </c>
      <c r="R1908" s="4"/>
      <c r="S1908" s="12"/>
    </row>
    <row r="1909" spans="1:19" x14ac:dyDescent="0.25">
      <c r="A1909" s="9" t="s">
        <v>485</v>
      </c>
      <c r="B1909" s="9" t="s">
        <v>485</v>
      </c>
      <c r="C1909" s="4">
        <v>201005353</v>
      </c>
      <c r="D1909" s="4" t="s">
        <v>2132</v>
      </c>
      <c r="E1909" s="4" t="str">
        <f>"107122010"</f>
        <v>107122010</v>
      </c>
      <c r="F1909" s="10">
        <v>40420</v>
      </c>
      <c r="G1909" s="11">
        <v>150000</v>
      </c>
      <c r="H1909" s="11">
        <v>150000</v>
      </c>
      <c r="I1909" s="4" t="s">
        <v>687</v>
      </c>
      <c r="J1909" s="4" t="s">
        <v>688</v>
      </c>
      <c r="K1909" s="11">
        <v>0</v>
      </c>
      <c r="L1909" s="4"/>
      <c r="M1909" s="4"/>
      <c r="N1909" s="11">
        <v>0</v>
      </c>
      <c r="O1909" s="4"/>
      <c r="P1909" s="4"/>
      <c r="Q1909" s="11">
        <v>0</v>
      </c>
      <c r="R1909" s="4"/>
      <c r="S1909" s="12"/>
    </row>
    <row r="1910" spans="1:19" x14ac:dyDescent="0.25">
      <c r="A1910" s="9" t="s">
        <v>485</v>
      </c>
      <c r="B1910" s="9" t="s">
        <v>485</v>
      </c>
      <c r="C1910" s="4">
        <v>201005355</v>
      </c>
      <c r="D1910" s="4"/>
      <c r="E1910" s="4" t="str">
        <f>"107022010"</f>
        <v>107022010</v>
      </c>
      <c r="F1910" s="10">
        <v>40420</v>
      </c>
      <c r="G1910" s="11">
        <v>4391.04</v>
      </c>
      <c r="H1910" s="11">
        <v>4391.04</v>
      </c>
      <c r="I1910" s="4" t="s">
        <v>366</v>
      </c>
      <c r="J1910" s="4" t="s">
        <v>367</v>
      </c>
      <c r="K1910" s="11">
        <v>0</v>
      </c>
      <c r="L1910" s="4"/>
      <c r="M1910" s="4"/>
      <c r="N1910" s="11">
        <v>0</v>
      </c>
      <c r="O1910" s="4"/>
      <c r="P1910" s="4"/>
      <c r="Q1910" s="11">
        <v>0</v>
      </c>
      <c r="R1910" s="4"/>
      <c r="S1910" s="12"/>
    </row>
    <row r="1911" spans="1:19" x14ac:dyDescent="0.25">
      <c r="A1911" s="9" t="s">
        <v>485</v>
      </c>
      <c r="B1911" s="9" t="s">
        <v>485</v>
      </c>
      <c r="C1911" s="4">
        <v>201005367</v>
      </c>
      <c r="D1911" s="4" t="s">
        <v>2133</v>
      </c>
      <c r="E1911" s="4" t="str">
        <f>"106982010"</f>
        <v>106982010</v>
      </c>
      <c r="F1911" s="10">
        <v>40420</v>
      </c>
      <c r="G1911" s="11">
        <v>200000</v>
      </c>
      <c r="H1911" s="11">
        <v>200000</v>
      </c>
      <c r="I1911" s="4" t="s">
        <v>687</v>
      </c>
      <c r="J1911" s="4" t="s">
        <v>688</v>
      </c>
      <c r="K1911" s="11">
        <v>0</v>
      </c>
      <c r="L1911" s="4"/>
      <c r="M1911" s="4"/>
      <c r="N1911" s="11">
        <v>0</v>
      </c>
      <c r="O1911" s="4"/>
      <c r="P1911" s="4"/>
      <c r="Q1911" s="11">
        <v>0</v>
      </c>
      <c r="R1911" s="4"/>
      <c r="S1911" s="12"/>
    </row>
    <row r="1912" spans="1:19" x14ac:dyDescent="0.25">
      <c r="A1912" s="9" t="s">
        <v>485</v>
      </c>
      <c r="B1912" s="9" t="s">
        <v>485</v>
      </c>
      <c r="C1912" s="4">
        <v>201005368</v>
      </c>
      <c r="D1912" s="4" t="s">
        <v>2039</v>
      </c>
      <c r="E1912" s="4" t="str">
        <f>"112842010"</f>
        <v>112842010</v>
      </c>
      <c r="F1912" s="10">
        <v>40443</v>
      </c>
      <c r="G1912" s="11">
        <v>150000</v>
      </c>
      <c r="H1912" s="11">
        <v>150000</v>
      </c>
      <c r="I1912" s="4" t="s">
        <v>687</v>
      </c>
      <c r="J1912" s="4" t="s">
        <v>688</v>
      </c>
      <c r="K1912" s="11">
        <v>0</v>
      </c>
      <c r="L1912" s="4"/>
      <c r="M1912" s="4"/>
      <c r="N1912" s="11">
        <v>0</v>
      </c>
      <c r="O1912" s="4"/>
      <c r="P1912" s="4"/>
      <c r="Q1912" s="11">
        <v>0</v>
      </c>
      <c r="R1912" s="4"/>
      <c r="S1912" s="12"/>
    </row>
    <row r="1913" spans="1:19" x14ac:dyDescent="0.25">
      <c r="A1913" s="9" t="s">
        <v>485</v>
      </c>
      <c r="B1913" s="9" t="s">
        <v>485</v>
      </c>
      <c r="C1913" s="4">
        <v>201005376</v>
      </c>
      <c r="D1913" s="4"/>
      <c r="E1913" s="4" t="str">
        <f>"106722010"</f>
        <v>106722010</v>
      </c>
      <c r="F1913" s="10">
        <v>40417</v>
      </c>
      <c r="G1913" s="11">
        <v>3767.15</v>
      </c>
      <c r="H1913" s="11">
        <v>3767.15</v>
      </c>
      <c r="I1913" s="4" t="s">
        <v>366</v>
      </c>
      <c r="J1913" s="4" t="s">
        <v>367</v>
      </c>
      <c r="K1913" s="11">
        <v>0</v>
      </c>
      <c r="L1913" s="4"/>
      <c r="M1913" s="4"/>
      <c r="N1913" s="11">
        <v>0</v>
      </c>
      <c r="O1913" s="4"/>
      <c r="P1913" s="4"/>
      <c r="Q1913" s="11">
        <v>0</v>
      </c>
      <c r="R1913" s="4"/>
      <c r="S1913" s="12"/>
    </row>
    <row r="1914" spans="1:19" x14ac:dyDescent="0.25">
      <c r="A1914" s="9" t="s">
        <v>485</v>
      </c>
      <c r="B1914" s="9" t="s">
        <v>485</v>
      </c>
      <c r="C1914" s="4">
        <v>201005379</v>
      </c>
      <c r="D1914" s="4" t="s">
        <v>2134</v>
      </c>
      <c r="E1914" s="4" t="str">
        <f>"107282010"</f>
        <v>107282010</v>
      </c>
      <c r="F1914" s="10">
        <v>40423</v>
      </c>
      <c r="G1914" s="11">
        <v>10000</v>
      </c>
      <c r="H1914" s="11">
        <v>10000</v>
      </c>
      <c r="I1914" s="4" t="s">
        <v>366</v>
      </c>
      <c r="J1914" s="4" t="s">
        <v>367</v>
      </c>
      <c r="K1914" s="11">
        <v>0</v>
      </c>
      <c r="L1914" s="4"/>
      <c r="M1914" s="4"/>
      <c r="N1914" s="11">
        <v>0</v>
      </c>
      <c r="O1914" s="4"/>
      <c r="P1914" s="4"/>
      <c r="Q1914" s="11">
        <v>0</v>
      </c>
      <c r="R1914" s="4"/>
      <c r="S1914" s="12"/>
    </row>
    <row r="1915" spans="1:19" x14ac:dyDescent="0.25">
      <c r="A1915" s="9" t="s">
        <v>485</v>
      </c>
      <c r="B1915" s="9" t="s">
        <v>485</v>
      </c>
      <c r="C1915" s="4">
        <v>201005380</v>
      </c>
      <c r="D1915" s="4"/>
      <c r="E1915" s="4" t="str">
        <f>"106702010"</f>
        <v>106702010</v>
      </c>
      <c r="F1915" s="10">
        <v>40417</v>
      </c>
      <c r="G1915" s="11">
        <v>2900</v>
      </c>
      <c r="H1915" s="11">
        <v>2900</v>
      </c>
      <c r="I1915" s="4" t="s">
        <v>366</v>
      </c>
      <c r="J1915" s="4" t="s">
        <v>367</v>
      </c>
      <c r="K1915" s="11">
        <v>0</v>
      </c>
      <c r="L1915" s="4"/>
      <c r="M1915" s="4"/>
      <c r="N1915" s="11">
        <v>0</v>
      </c>
      <c r="O1915" s="4"/>
      <c r="P1915" s="4"/>
      <c r="Q1915" s="11">
        <v>0</v>
      </c>
      <c r="R1915" s="4"/>
      <c r="S1915" s="12"/>
    </row>
    <row r="1916" spans="1:19" x14ac:dyDescent="0.25">
      <c r="A1916" s="9" t="s">
        <v>485</v>
      </c>
      <c r="B1916" s="9" t="s">
        <v>485</v>
      </c>
      <c r="C1916" s="4">
        <v>201005387</v>
      </c>
      <c r="D1916" s="4"/>
      <c r="E1916" s="4" t="str">
        <f>"106842010"</f>
        <v>106842010</v>
      </c>
      <c r="F1916" s="10">
        <v>40417</v>
      </c>
      <c r="G1916" s="11">
        <v>3514.4</v>
      </c>
      <c r="H1916" s="11">
        <v>3514.4</v>
      </c>
      <c r="I1916" s="4" t="s">
        <v>366</v>
      </c>
      <c r="J1916" s="4" t="s">
        <v>367</v>
      </c>
      <c r="K1916" s="11">
        <v>0</v>
      </c>
      <c r="L1916" s="4"/>
      <c r="M1916" s="4"/>
      <c r="N1916" s="11">
        <v>0</v>
      </c>
      <c r="O1916" s="4"/>
      <c r="P1916" s="4"/>
      <c r="Q1916" s="11">
        <v>0</v>
      </c>
      <c r="R1916" s="4"/>
      <c r="S1916" s="12"/>
    </row>
    <row r="1917" spans="1:19" x14ac:dyDescent="0.25">
      <c r="A1917" s="9" t="s">
        <v>485</v>
      </c>
      <c r="B1917" s="9" t="s">
        <v>485</v>
      </c>
      <c r="C1917" s="4">
        <v>201005388</v>
      </c>
      <c r="D1917" s="4" t="s">
        <v>2135</v>
      </c>
      <c r="E1917" s="4" t="str">
        <f>"107002010"</f>
        <v>107002010</v>
      </c>
      <c r="F1917" s="10">
        <v>40420</v>
      </c>
      <c r="G1917" s="11">
        <v>5000</v>
      </c>
      <c r="H1917" s="11">
        <v>5000</v>
      </c>
      <c r="I1917" s="4" t="s">
        <v>366</v>
      </c>
      <c r="J1917" s="4" t="s">
        <v>367</v>
      </c>
      <c r="K1917" s="11">
        <v>0</v>
      </c>
      <c r="L1917" s="4"/>
      <c r="M1917" s="4"/>
      <c r="N1917" s="11">
        <v>0</v>
      </c>
      <c r="O1917" s="4"/>
      <c r="P1917" s="4"/>
      <c r="Q1917" s="11">
        <v>0</v>
      </c>
      <c r="R1917" s="4"/>
      <c r="S1917" s="12"/>
    </row>
    <row r="1918" spans="1:19" x14ac:dyDescent="0.25">
      <c r="A1918" s="9" t="s">
        <v>485</v>
      </c>
      <c r="B1918" s="9" t="s">
        <v>485</v>
      </c>
      <c r="C1918" s="4">
        <v>201005405</v>
      </c>
      <c r="D1918" s="4"/>
      <c r="E1918" s="4" t="str">
        <f>"107422010"</f>
        <v>107422010</v>
      </c>
      <c r="F1918" s="10">
        <v>40423</v>
      </c>
      <c r="G1918" s="11">
        <v>13076</v>
      </c>
      <c r="H1918" s="11">
        <v>13076</v>
      </c>
      <c r="I1918" s="4" t="s">
        <v>366</v>
      </c>
      <c r="J1918" s="4" t="s">
        <v>367</v>
      </c>
      <c r="K1918" s="11">
        <v>0</v>
      </c>
      <c r="L1918" s="4"/>
      <c r="M1918" s="4"/>
      <c r="N1918" s="11">
        <v>0</v>
      </c>
      <c r="O1918" s="4"/>
      <c r="P1918" s="4"/>
      <c r="Q1918" s="11">
        <v>0</v>
      </c>
      <c r="R1918" s="4"/>
      <c r="S1918" s="12"/>
    </row>
    <row r="1919" spans="1:19" x14ac:dyDescent="0.25">
      <c r="A1919" s="9" t="s">
        <v>485</v>
      </c>
      <c r="B1919" s="9" t="s">
        <v>485</v>
      </c>
      <c r="C1919" s="4">
        <v>201005420</v>
      </c>
      <c r="D1919" s="4"/>
      <c r="E1919" s="4" t="str">
        <f>"108872010"</f>
        <v>108872010</v>
      </c>
      <c r="F1919" s="10">
        <v>40429</v>
      </c>
      <c r="G1919" s="11">
        <v>11763.9</v>
      </c>
      <c r="H1919" s="11">
        <v>11763.9</v>
      </c>
      <c r="I1919" s="4" t="s">
        <v>366</v>
      </c>
      <c r="J1919" s="4" t="s">
        <v>367</v>
      </c>
      <c r="K1919" s="11">
        <v>0</v>
      </c>
      <c r="L1919" s="4"/>
      <c r="M1919" s="4"/>
      <c r="N1919" s="11">
        <v>0</v>
      </c>
      <c r="O1919" s="4"/>
      <c r="P1919" s="4"/>
      <c r="Q1919" s="11">
        <v>0</v>
      </c>
      <c r="R1919" s="4"/>
      <c r="S1919" s="12"/>
    </row>
    <row r="1920" spans="1:19" x14ac:dyDescent="0.25">
      <c r="A1920" s="9" t="s">
        <v>485</v>
      </c>
      <c r="B1920" s="9" t="s">
        <v>485</v>
      </c>
      <c r="C1920" s="4">
        <v>201005425</v>
      </c>
      <c r="D1920" s="4" t="s">
        <v>2136</v>
      </c>
      <c r="E1920" s="4" t="str">
        <f>"107552010"</f>
        <v>107552010</v>
      </c>
      <c r="F1920" s="10">
        <v>40423</v>
      </c>
      <c r="G1920" s="11">
        <v>10669</v>
      </c>
      <c r="H1920" s="11">
        <v>10669</v>
      </c>
      <c r="I1920" s="4" t="s">
        <v>366</v>
      </c>
      <c r="J1920" s="4" t="s">
        <v>367</v>
      </c>
      <c r="K1920" s="11">
        <v>0</v>
      </c>
      <c r="L1920" s="4"/>
      <c r="M1920" s="4"/>
      <c r="N1920" s="11">
        <v>0</v>
      </c>
      <c r="O1920" s="4"/>
      <c r="P1920" s="4"/>
      <c r="Q1920" s="11">
        <v>0</v>
      </c>
      <c r="R1920" s="4"/>
      <c r="S1920" s="12"/>
    </row>
    <row r="1921" spans="1:19" x14ac:dyDescent="0.25">
      <c r="A1921" s="9" t="s">
        <v>485</v>
      </c>
      <c r="B1921" s="9" t="s">
        <v>485</v>
      </c>
      <c r="C1921" s="4">
        <v>201005454</v>
      </c>
      <c r="D1921" s="4"/>
      <c r="E1921" s="4" t="str">
        <f>"108052010"</f>
        <v>108052010</v>
      </c>
      <c r="F1921" s="10">
        <v>40424</v>
      </c>
      <c r="G1921" s="11">
        <v>3770.23</v>
      </c>
      <c r="H1921" s="11">
        <v>3770.23</v>
      </c>
      <c r="I1921" s="4" t="s">
        <v>366</v>
      </c>
      <c r="J1921" s="4" t="s">
        <v>367</v>
      </c>
      <c r="K1921" s="11">
        <v>0</v>
      </c>
      <c r="L1921" s="4"/>
      <c r="M1921" s="4"/>
      <c r="N1921" s="11">
        <v>0</v>
      </c>
      <c r="O1921" s="4"/>
      <c r="P1921" s="4"/>
      <c r="Q1921" s="11">
        <v>0</v>
      </c>
      <c r="R1921" s="4"/>
      <c r="S1921" s="12"/>
    </row>
    <row r="1922" spans="1:19" x14ac:dyDescent="0.25">
      <c r="A1922" s="9" t="s">
        <v>485</v>
      </c>
      <c r="B1922" s="9" t="s">
        <v>485</v>
      </c>
      <c r="C1922" s="4">
        <v>201005455</v>
      </c>
      <c r="D1922" s="4"/>
      <c r="E1922" s="4" t="str">
        <f>"108232010"</f>
        <v>108232010</v>
      </c>
      <c r="F1922" s="10">
        <v>40424</v>
      </c>
      <c r="G1922" s="11">
        <v>8341.0400000000009</v>
      </c>
      <c r="H1922" s="11">
        <v>8341.0400000000009</v>
      </c>
      <c r="I1922" s="4" t="s">
        <v>366</v>
      </c>
      <c r="J1922" s="4" t="s">
        <v>367</v>
      </c>
      <c r="K1922" s="11">
        <v>0</v>
      </c>
      <c r="L1922" s="4"/>
      <c r="M1922" s="4"/>
      <c r="N1922" s="11">
        <v>0</v>
      </c>
      <c r="O1922" s="4"/>
      <c r="P1922" s="4"/>
      <c r="Q1922" s="11">
        <v>0</v>
      </c>
      <c r="R1922" s="4"/>
      <c r="S1922" s="12"/>
    </row>
    <row r="1923" spans="1:19" x14ac:dyDescent="0.25">
      <c r="A1923" s="9" t="s">
        <v>485</v>
      </c>
      <c r="B1923" s="9" t="s">
        <v>485</v>
      </c>
      <c r="C1923" s="4">
        <v>201005463</v>
      </c>
      <c r="D1923" s="4" t="s">
        <v>2137</v>
      </c>
      <c r="E1923" s="4" t="str">
        <f>"110672010"</f>
        <v>110672010</v>
      </c>
      <c r="F1923" s="10">
        <v>40436</v>
      </c>
      <c r="G1923" s="11">
        <v>17500</v>
      </c>
      <c r="H1923" s="11">
        <v>17500</v>
      </c>
      <c r="I1923" s="4" t="s">
        <v>366</v>
      </c>
      <c r="J1923" s="4" t="s">
        <v>367</v>
      </c>
      <c r="K1923" s="11">
        <v>0</v>
      </c>
      <c r="L1923" s="4"/>
      <c r="M1923" s="4"/>
      <c r="N1923" s="11">
        <v>0</v>
      </c>
      <c r="O1923" s="4"/>
      <c r="P1923" s="4"/>
      <c r="Q1923" s="11">
        <v>0</v>
      </c>
      <c r="R1923" s="4"/>
      <c r="S1923" s="12"/>
    </row>
    <row r="1924" spans="1:19" x14ac:dyDescent="0.25">
      <c r="A1924" s="9" t="s">
        <v>485</v>
      </c>
      <c r="B1924" s="9" t="s">
        <v>485</v>
      </c>
      <c r="C1924" s="4">
        <v>201005474</v>
      </c>
      <c r="D1924" s="4"/>
      <c r="E1924" s="4" t="str">
        <f>"112362010"</f>
        <v>112362010</v>
      </c>
      <c r="F1924" s="10">
        <v>40443</v>
      </c>
      <c r="G1924" s="11">
        <v>4265</v>
      </c>
      <c r="H1924" s="11">
        <v>4265</v>
      </c>
      <c r="I1924" s="4" t="s">
        <v>366</v>
      </c>
      <c r="J1924" s="4" t="s">
        <v>367</v>
      </c>
      <c r="K1924" s="11">
        <v>0</v>
      </c>
      <c r="L1924" s="4"/>
      <c r="M1924" s="4"/>
      <c r="N1924" s="11">
        <v>0</v>
      </c>
      <c r="O1924" s="4"/>
      <c r="P1924" s="4"/>
      <c r="Q1924" s="11">
        <v>0</v>
      </c>
      <c r="R1924" s="4"/>
      <c r="S1924" s="12"/>
    </row>
    <row r="1925" spans="1:19" x14ac:dyDescent="0.25">
      <c r="A1925" s="9" t="s">
        <v>485</v>
      </c>
      <c r="B1925" s="9" t="s">
        <v>485</v>
      </c>
      <c r="C1925" s="4">
        <v>201005476</v>
      </c>
      <c r="D1925" s="4"/>
      <c r="E1925" s="4" t="str">
        <f>"110632010"</f>
        <v>110632010</v>
      </c>
      <c r="F1925" s="10">
        <v>40436</v>
      </c>
      <c r="G1925" s="11">
        <v>2533.58</v>
      </c>
      <c r="H1925" s="11">
        <v>2533.58</v>
      </c>
      <c r="I1925" s="4" t="s">
        <v>366</v>
      </c>
      <c r="J1925" s="4" t="s">
        <v>367</v>
      </c>
      <c r="K1925" s="11">
        <v>0</v>
      </c>
      <c r="L1925" s="4"/>
      <c r="M1925" s="4"/>
      <c r="N1925" s="11">
        <v>0</v>
      </c>
      <c r="O1925" s="4"/>
      <c r="P1925" s="4"/>
      <c r="Q1925" s="11">
        <v>0</v>
      </c>
      <c r="R1925" s="4"/>
      <c r="S1925" s="12"/>
    </row>
    <row r="1926" spans="1:19" x14ac:dyDescent="0.25">
      <c r="A1926" s="9" t="s">
        <v>485</v>
      </c>
      <c r="B1926" s="9" t="s">
        <v>485</v>
      </c>
      <c r="C1926" s="4">
        <v>201005484</v>
      </c>
      <c r="D1926" s="4"/>
      <c r="E1926" s="4" t="str">
        <f>"108712010"</f>
        <v>108712010</v>
      </c>
      <c r="F1926" s="10">
        <v>40429</v>
      </c>
      <c r="G1926" s="11">
        <v>3272.14</v>
      </c>
      <c r="H1926" s="11">
        <v>3272.14</v>
      </c>
      <c r="I1926" s="4" t="s">
        <v>366</v>
      </c>
      <c r="J1926" s="4" t="s">
        <v>367</v>
      </c>
      <c r="K1926" s="11">
        <v>0</v>
      </c>
      <c r="L1926" s="4"/>
      <c r="M1926" s="4"/>
      <c r="N1926" s="11">
        <v>0</v>
      </c>
      <c r="O1926" s="4"/>
      <c r="P1926" s="4"/>
      <c r="Q1926" s="11">
        <v>0</v>
      </c>
      <c r="R1926" s="4"/>
      <c r="S1926" s="12"/>
    </row>
    <row r="1927" spans="1:19" x14ac:dyDescent="0.25">
      <c r="A1927" s="9" t="s">
        <v>485</v>
      </c>
      <c r="B1927" s="9" t="s">
        <v>485</v>
      </c>
      <c r="C1927" s="4">
        <v>201005508</v>
      </c>
      <c r="D1927" s="4"/>
      <c r="E1927" s="4" t="str">
        <f>"109492010"</f>
        <v>109492010</v>
      </c>
      <c r="F1927" s="10">
        <v>40430</v>
      </c>
      <c r="G1927" s="11">
        <v>2750</v>
      </c>
      <c r="H1927" s="11">
        <v>2750</v>
      </c>
      <c r="I1927" s="4" t="s">
        <v>366</v>
      </c>
      <c r="J1927" s="4" t="s">
        <v>367</v>
      </c>
      <c r="K1927" s="11">
        <v>0</v>
      </c>
      <c r="L1927" s="4"/>
      <c r="M1927" s="4"/>
      <c r="N1927" s="11">
        <v>0</v>
      </c>
      <c r="O1927" s="4"/>
      <c r="P1927" s="4"/>
      <c r="Q1927" s="11">
        <v>0</v>
      </c>
      <c r="R1927" s="4"/>
      <c r="S1927" s="12"/>
    </row>
    <row r="1928" spans="1:19" x14ac:dyDescent="0.25">
      <c r="A1928" s="9" t="s">
        <v>485</v>
      </c>
      <c r="B1928" s="9" t="s">
        <v>485</v>
      </c>
      <c r="C1928" s="4">
        <v>201005514</v>
      </c>
      <c r="D1928" s="4"/>
      <c r="E1928" s="4" t="str">
        <f>"109792010"</f>
        <v>109792010</v>
      </c>
      <c r="F1928" s="10">
        <v>40431</v>
      </c>
      <c r="G1928" s="11">
        <v>2905.23</v>
      </c>
      <c r="H1928" s="11">
        <v>2905.23</v>
      </c>
      <c r="I1928" s="4" t="s">
        <v>366</v>
      </c>
      <c r="J1928" s="4" t="s">
        <v>367</v>
      </c>
      <c r="K1928" s="11">
        <v>0</v>
      </c>
      <c r="L1928" s="4"/>
      <c r="M1928" s="4"/>
      <c r="N1928" s="11">
        <v>0</v>
      </c>
      <c r="O1928" s="4"/>
      <c r="P1928" s="4"/>
      <c r="Q1928" s="11">
        <v>0</v>
      </c>
      <c r="R1928" s="4"/>
      <c r="S1928" s="12"/>
    </row>
    <row r="1929" spans="1:19" x14ac:dyDescent="0.25">
      <c r="A1929" s="9" t="s">
        <v>485</v>
      </c>
      <c r="B1929" s="9" t="s">
        <v>485</v>
      </c>
      <c r="C1929" s="4">
        <v>201005523</v>
      </c>
      <c r="D1929" s="4" t="s">
        <v>2138</v>
      </c>
      <c r="E1929" s="4" t="str">
        <f>"110152010"</f>
        <v>110152010</v>
      </c>
      <c r="F1929" s="10">
        <v>40431</v>
      </c>
      <c r="G1929" s="11">
        <v>17500</v>
      </c>
      <c r="H1929" s="11">
        <v>17500</v>
      </c>
      <c r="I1929" s="4" t="s">
        <v>366</v>
      </c>
      <c r="J1929" s="4" t="s">
        <v>367</v>
      </c>
      <c r="K1929" s="11">
        <v>0</v>
      </c>
      <c r="L1929" s="4"/>
      <c r="M1929" s="4"/>
      <c r="N1929" s="11">
        <v>0</v>
      </c>
      <c r="O1929" s="4"/>
      <c r="P1929" s="4"/>
      <c r="Q1929" s="11">
        <v>0</v>
      </c>
      <c r="R1929" s="4"/>
      <c r="S1929" s="12"/>
    </row>
    <row r="1930" spans="1:19" x14ac:dyDescent="0.25">
      <c r="A1930" s="9" t="s">
        <v>485</v>
      </c>
      <c r="B1930" s="9" t="s">
        <v>485</v>
      </c>
      <c r="C1930" s="4">
        <v>201005535</v>
      </c>
      <c r="D1930" s="4"/>
      <c r="E1930" s="4" t="str">
        <f>"110072010"</f>
        <v>110072010</v>
      </c>
      <c r="F1930" s="10">
        <v>40431</v>
      </c>
      <c r="G1930" s="11">
        <v>5154.96</v>
      </c>
      <c r="H1930" s="11">
        <v>5154.96</v>
      </c>
      <c r="I1930" s="4" t="s">
        <v>366</v>
      </c>
      <c r="J1930" s="4" t="s">
        <v>367</v>
      </c>
      <c r="K1930" s="11">
        <v>0</v>
      </c>
      <c r="L1930" s="4"/>
      <c r="M1930" s="4"/>
      <c r="N1930" s="11">
        <v>0</v>
      </c>
      <c r="O1930" s="4"/>
      <c r="P1930" s="4"/>
      <c r="Q1930" s="11">
        <v>0</v>
      </c>
      <c r="R1930" s="4"/>
      <c r="S1930" s="12"/>
    </row>
    <row r="1931" spans="1:19" x14ac:dyDescent="0.25">
      <c r="A1931" s="9" t="s">
        <v>485</v>
      </c>
      <c r="B1931" s="9" t="s">
        <v>485</v>
      </c>
      <c r="C1931" s="4">
        <v>201005538</v>
      </c>
      <c r="D1931" s="4" t="s">
        <v>2139</v>
      </c>
      <c r="E1931" s="4" t="str">
        <f>"109752010"</f>
        <v>109752010</v>
      </c>
      <c r="F1931" s="10">
        <v>40431</v>
      </c>
      <c r="G1931" s="11">
        <v>5500</v>
      </c>
      <c r="H1931" s="11">
        <v>5500</v>
      </c>
      <c r="I1931" s="4" t="s">
        <v>366</v>
      </c>
      <c r="J1931" s="4" t="s">
        <v>367</v>
      </c>
      <c r="K1931" s="11">
        <v>0</v>
      </c>
      <c r="L1931" s="4"/>
      <c r="M1931" s="4"/>
      <c r="N1931" s="11">
        <v>0</v>
      </c>
      <c r="O1931" s="4"/>
      <c r="P1931" s="4"/>
      <c r="Q1931" s="11">
        <v>0</v>
      </c>
      <c r="R1931" s="4"/>
      <c r="S1931" s="12"/>
    </row>
    <row r="1932" spans="1:19" x14ac:dyDescent="0.25">
      <c r="A1932" s="9" t="s">
        <v>485</v>
      </c>
      <c r="B1932" s="9" t="s">
        <v>485</v>
      </c>
      <c r="C1932" s="4">
        <v>201005547</v>
      </c>
      <c r="D1932" s="4"/>
      <c r="E1932" s="4" t="str">
        <f>"111072010"</f>
        <v>111072010</v>
      </c>
      <c r="F1932" s="10">
        <v>40437</v>
      </c>
      <c r="G1932" s="11">
        <v>2540.58</v>
      </c>
      <c r="H1932" s="11">
        <v>2540.58</v>
      </c>
      <c r="I1932" s="4" t="s">
        <v>366</v>
      </c>
      <c r="J1932" s="4" t="s">
        <v>367</v>
      </c>
      <c r="K1932" s="11">
        <v>0</v>
      </c>
      <c r="L1932" s="4"/>
      <c r="M1932" s="4"/>
      <c r="N1932" s="11">
        <v>0</v>
      </c>
      <c r="O1932" s="4"/>
      <c r="P1932" s="4"/>
      <c r="Q1932" s="11">
        <v>0</v>
      </c>
      <c r="R1932" s="4"/>
      <c r="S1932" s="12"/>
    </row>
    <row r="1933" spans="1:19" x14ac:dyDescent="0.25">
      <c r="A1933" s="9" t="s">
        <v>485</v>
      </c>
      <c r="B1933" s="9" t="s">
        <v>485</v>
      </c>
      <c r="C1933" s="4">
        <v>201005556</v>
      </c>
      <c r="D1933" s="4" t="s">
        <v>2140</v>
      </c>
      <c r="E1933" s="4" t="str">
        <f>"110012010"</f>
        <v>110012010</v>
      </c>
      <c r="F1933" s="10">
        <v>40431</v>
      </c>
      <c r="G1933" s="11">
        <v>2995</v>
      </c>
      <c r="H1933" s="11">
        <v>2995</v>
      </c>
      <c r="I1933" s="4" t="s">
        <v>366</v>
      </c>
      <c r="J1933" s="4" t="s">
        <v>367</v>
      </c>
      <c r="K1933" s="11">
        <v>0</v>
      </c>
      <c r="L1933" s="4"/>
      <c r="M1933" s="4"/>
      <c r="N1933" s="11">
        <v>0</v>
      </c>
      <c r="O1933" s="4"/>
      <c r="P1933" s="4"/>
      <c r="Q1933" s="11">
        <v>0</v>
      </c>
      <c r="R1933" s="4"/>
      <c r="S1933" s="12"/>
    </row>
    <row r="1934" spans="1:19" x14ac:dyDescent="0.25">
      <c r="A1934" s="9" t="s">
        <v>485</v>
      </c>
      <c r="B1934" s="9" t="s">
        <v>485</v>
      </c>
      <c r="C1934" s="4">
        <v>201005567</v>
      </c>
      <c r="D1934" s="4"/>
      <c r="E1934" s="4" t="str">
        <f>"110392010"</f>
        <v>110392010</v>
      </c>
      <c r="F1934" s="10">
        <v>40436</v>
      </c>
      <c r="G1934" s="11">
        <v>3000</v>
      </c>
      <c r="H1934" s="11">
        <v>3000</v>
      </c>
      <c r="I1934" s="4" t="s">
        <v>366</v>
      </c>
      <c r="J1934" s="4" t="s">
        <v>367</v>
      </c>
      <c r="K1934" s="11">
        <v>0</v>
      </c>
      <c r="L1934" s="4"/>
      <c r="M1934" s="4"/>
      <c r="N1934" s="11">
        <v>0</v>
      </c>
      <c r="O1934" s="4"/>
      <c r="P1934" s="4"/>
      <c r="Q1934" s="11">
        <v>0</v>
      </c>
      <c r="R1934" s="4"/>
      <c r="S1934" s="12"/>
    </row>
    <row r="1935" spans="1:19" x14ac:dyDescent="0.25">
      <c r="A1935" s="9" t="s">
        <v>485</v>
      </c>
      <c r="B1935" s="9" t="s">
        <v>485</v>
      </c>
      <c r="C1935" s="4">
        <v>201005573</v>
      </c>
      <c r="D1935" s="4" t="s">
        <v>1975</v>
      </c>
      <c r="E1935" s="4" t="str">
        <f>"111392010"</f>
        <v>111392010</v>
      </c>
      <c r="F1935" s="10">
        <v>40437</v>
      </c>
      <c r="G1935" s="11">
        <v>19000</v>
      </c>
      <c r="H1935" s="11">
        <v>19000</v>
      </c>
      <c r="I1935" s="4" t="s">
        <v>366</v>
      </c>
      <c r="J1935" s="4" t="s">
        <v>367</v>
      </c>
      <c r="K1935" s="11">
        <v>0</v>
      </c>
      <c r="L1935" s="4"/>
      <c r="M1935" s="4"/>
      <c r="N1935" s="11">
        <v>0</v>
      </c>
      <c r="O1935" s="4"/>
      <c r="P1935" s="4"/>
      <c r="Q1935" s="11">
        <v>0</v>
      </c>
      <c r="R1935" s="4"/>
      <c r="S1935" s="12"/>
    </row>
    <row r="1936" spans="1:19" x14ac:dyDescent="0.25">
      <c r="A1936" s="9" t="s">
        <v>485</v>
      </c>
      <c r="B1936" s="9" t="s">
        <v>485</v>
      </c>
      <c r="C1936" s="4">
        <v>201005585</v>
      </c>
      <c r="D1936" s="4"/>
      <c r="E1936" s="4" t="str">
        <f>"112002010"</f>
        <v>112002010</v>
      </c>
      <c r="F1936" s="10">
        <v>40443</v>
      </c>
      <c r="G1936" s="11">
        <v>4270.8599999999997</v>
      </c>
      <c r="H1936" s="11">
        <v>4270.8599999999997</v>
      </c>
      <c r="I1936" s="4" t="s">
        <v>366</v>
      </c>
      <c r="J1936" s="4" t="s">
        <v>367</v>
      </c>
      <c r="K1936" s="11">
        <v>0</v>
      </c>
      <c r="L1936" s="4"/>
      <c r="M1936" s="4"/>
      <c r="N1936" s="11">
        <v>0</v>
      </c>
      <c r="O1936" s="4"/>
      <c r="P1936" s="4"/>
      <c r="Q1936" s="11">
        <v>0</v>
      </c>
      <c r="R1936" s="4"/>
      <c r="S1936" s="12"/>
    </row>
    <row r="1937" spans="1:19" x14ac:dyDescent="0.25">
      <c r="A1937" s="9" t="s">
        <v>485</v>
      </c>
      <c r="B1937" s="9" t="s">
        <v>485</v>
      </c>
      <c r="C1937" s="4">
        <v>201005592</v>
      </c>
      <c r="D1937" s="4" t="s">
        <v>2141</v>
      </c>
      <c r="E1937" s="4" t="str">
        <f>"111332010"</f>
        <v>111332010</v>
      </c>
      <c r="F1937" s="10">
        <v>40437</v>
      </c>
      <c r="G1937" s="11">
        <v>6000</v>
      </c>
      <c r="H1937" s="11">
        <v>6000</v>
      </c>
      <c r="I1937" s="4" t="s">
        <v>54</v>
      </c>
      <c r="J1937" s="4" t="s">
        <v>55</v>
      </c>
      <c r="K1937" s="11">
        <v>0</v>
      </c>
      <c r="L1937" s="4"/>
      <c r="M1937" s="4"/>
      <c r="N1937" s="11">
        <v>0</v>
      </c>
      <c r="O1937" s="4"/>
      <c r="P1937" s="4"/>
      <c r="Q1937" s="11">
        <v>0</v>
      </c>
      <c r="R1937" s="4"/>
      <c r="S1937" s="12"/>
    </row>
    <row r="1938" spans="1:19" x14ac:dyDescent="0.25">
      <c r="A1938" s="9" t="s">
        <v>485</v>
      </c>
      <c r="B1938" s="9" t="s">
        <v>485</v>
      </c>
      <c r="C1938" s="4">
        <v>201005599</v>
      </c>
      <c r="D1938" s="4"/>
      <c r="E1938" s="4" t="str">
        <f>"112182010"</f>
        <v>112182010</v>
      </c>
      <c r="F1938" s="10">
        <v>40443</v>
      </c>
      <c r="G1938" s="11">
        <v>2682.55</v>
      </c>
      <c r="H1938" s="11">
        <v>2682.55</v>
      </c>
      <c r="I1938" s="4" t="s">
        <v>366</v>
      </c>
      <c r="J1938" s="4" t="s">
        <v>367</v>
      </c>
      <c r="K1938" s="11">
        <v>0</v>
      </c>
      <c r="L1938" s="4"/>
      <c r="M1938" s="4"/>
      <c r="N1938" s="11">
        <v>0</v>
      </c>
      <c r="O1938" s="4"/>
      <c r="P1938" s="4"/>
      <c r="Q1938" s="11">
        <v>0</v>
      </c>
      <c r="R1938" s="4"/>
      <c r="S1938" s="12"/>
    </row>
    <row r="1939" spans="1:19" x14ac:dyDescent="0.25">
      <c r="A1939" s="9" t="s">
        <v>485</v>
      </c>
      <c r="B1939" s="9" t="s">
        <v>485</v>
      </c>
      <c r="C1939" s="4">
        <v>201005618</v>
      </c>
      <c r="D1939" s="4"/>
      <c r="E1939" s="4" t="str">
        <f>"111852010"</f>
        <v>111852010</v>
      </c>
      <c r="F1939" s="10">
        <v>40443</v>
      </c>
      <c r="G1939" s="11">
        <v>3153.69</v>
      </c>
      <c r="H1939" s="11">
        <v>3153.69</v>
      </c>
      <c r="I1939" s="4" t="s">
        <v>366</v>
      </c>
      <c r="J1939" s="4" t="s">
        <v>367</v>
      </c>
      <c r="K1939" s="11">
        <v>0</v>
      </c>
      <c r="L1939" s="4"/>
      <c r="M1939" s="4"/>
      <c r="N1939" s="11">
        <v>0</v>
      </c>
      <c r="O1939" s="4"/>
      <c r="P1939" s="4"/>
      <c r="Q1939" s="11">
        <v>0</v>
      </c>
      <c r="R1939" s="4"/>
      <c r="S1939" s="12"/>
    </row>
    <row r="1940" spans="1:19" x14ac:dyDescent="0.25">
      <c r="A1940" s="9" t="s">
        <v>485</v>
      </c>
      <c r="B1940" s="9" t="s">
        <v>485</v>
      </c>
      <c r="C1940" s="4">
        <v>201005623</v>
      </c>
      <c r="D1940" s="4" t="s">
        <v>2142</v>
      </c>
      <c r="E1940" s="4" t="str">
        <f>"113342010"</f>
        <v>113342010</v>
      </c>
      <c r="F1940" s="10">
        <v>40445</v>
      </c>
      <c r="G1940" s="11">
        <v>15000</v>
      </c>
      <c r="H1940" s="11">
        <v>15000</v>
      </c>
      <c r="I1940" s="4" t="s">
        <v>366</v>
      </c>
      <c r="J1940" s="4" t="s">
        <v>367</v>
      </c>
      <c r="K1940" s="11">
        <v>0</v>
      </c>
      <c r="L1940" s="4"/>
      <c r="M1940" s="4"/>
      <c r="N1940" s="11">
        <v>0</v>
      </c>
      <c r="O1940" s="4"/>
      <c r="P1940" s="4"/>
      <c r="Q1940" s="11">
        <v>0</v>
      </c>
      <c r="R1940" s="4"/>
      <c r="S1940" s="12"/>
    </row>
    <row r="1941" spans="1:19" x14ac:dyDescent="0.25">
      <c r="A1941" s="9" t="s">
        <v>485</v>
      </c>
      <c r="B1941" s="9" t="s">
        <v>485</v>
      </c>
      <c r="C1941" s="4">
        <v>201005631</v>
      </c>
      <c r="D1941" s="4"/>
      <c r="E1941" s="4" t="str">
        <f>"114142010"</f>
        <v>114142010</v>
      </c>
      <c r="F1941" s="10">
        <v>40449</v>
      </c>
      <c r="G1941" s="11">
        <v>7268.81</v>
      </c>
      <c r="H1941" s="11">
        <v>7268.81</v>
      </c>
      <c r="I1941" s="4" t="s">
        <v>366</v>
      </c>
      <c r="J1941" s="4" t="s">
        <v>367</v>
      </c>
      <c r="K1941" s="11">
        <v>0</v>
      </c>
      <c r="L1941" s="4"/>
      <c r="M1941" s="4"/>
      <c r="N1941" s="11">
        <v>0</v>
      </c>
      <c r="O1941" s="4"/>
      <c r="P1941" s="4"/>
      <c r="Q1941" s="11">
        <v>0</v>
      </c>
      <c r="R1941" s="4"/>
      <c r="S1941" s="12"/>
    </row>
    <row r="1942" spans="1:19" x14ac:dyDescent="0.25">
      <c r="A1942" s="9" t="s">
        <v>485</v>
      </c>
      <c r="B1942" s="9" t="s">
        <v>485</v>
      </c>
      <c r="C1942" s="4">
        <v>201005632</v>
      </c>
      <c r="D1942" s="4"/>
      <c r="E1942" s="4" t="str">
        <f>"113322010"</f>
        <v>113322010</v>
      </c>
      <c r="F1942" s="10">
        <v>40445</v>
      </c>
      <c r="G1942" s="11">
        <v>4977.6899999999996</v>
      </c>
      <c r="H1942" s="11">
        <v>4977.6899999999996</v>
      </c>
      <c r="I1942" s="4" t="s">
        <v>366</v>
      </c>
      <c r="J1942" s="4" t="s">
        <v>367</v>
      </c>
      <c r="K1942" s="11">
        <v>0</v>
      </c>
      <c r="L1942" s="4"/>
      <c r="M1942" s="4"/>
      <c r="N1942" s="11">
        <v>0</v>
      </c>
      <c r="O1942" s="4"/>
      <c r="P1942" s="4"/>
      <c r="Q1942" s="11">
        <v>0</v>
      </c>
      <c r="R1942" s="4"/>
      <c r="S1942" s="12"/>
    </row>
    <row r="1943" spans="1:19" x14ac:dyDescent="0.25">
      <c r="A1943" s="9" t="s">
        <v>485</v>
      </c>
      <c r="B1943" s="9" t="s">
        <v>485</v>
      </c>
      <c r="C1943" s="4">
        <v>201005635</v>
      </c>
      <c r="D1943" s="4" t="s">
        <v>2143</v>
      </c>
      <c r="E1943" s="4" t="str">
        <f>"113622010"</f>
        <v>113622010</v>
      </c>
      <c r="F1943" s="10">
        <v>40450</v>
      </c>
      <c r="G1943" s="11">
        <v>4000</v>
      </c>
      <c r="H1943" s="11">
        <v>4000</v>
      </c>
      <c r="I1943" s="4" t="s">
        <v>366</v>
      </c>
      <c r="J1943" s="4" t="s">
        <v>367</v>
      </c>
      <c r="K1943" s="11">
        <v>0</v>
      </c>
      <c r="L1943" s="4"/>
      <c r="M1943" s="4"/>
      <c r="N1943" s="11">
        <v>0</v>
      </c>
      <c r="O1943" s="4"/>
      <c r="P1943" s="4"/>
      <c r="Q1943" s="11">
        <v>0</v>
      </c>
      <c r="R1943" s="4"/>
      <c r="S1943" s="12"/>
    </row>
    <row r="1944" spans="1:19" x14ac:dyDescent="0.25">
      <c r="A1944" s="9" t="s">
        <v>485</v>
      </c>
      <c r="B1944" s="9" t="s">
        <v>485</v>
      </c>
      <c r="C1944" s="4">
        <v>201005639</v>
      </c>
      <c r="D1944" s="4"/>
      <c r="E1944" s="4" t="str">
        <f>"112262010"</f>
        <v>112262010</v>
      </c>
      <c r="F1944" s="10">
        <v>40443</v>
      </c>
      <c r="G1944" s="11">
        <v>3643.24</v>
      </c>
      <c r="H1944" s="11">
        <v>3643.24</v>
      </c>
      <c r="I1944" s="4" t="s">
        <v>54</v>
      </c>
      <c r="J1944" s="4" t="s">
        <v>55</v>
      </c>
      <c r="K1944" s="11">
        <v>0</v>
      </c>
      <c r="L1944" s="4"/>
      <c r="M1944" s="4"/>
      <c r="N1944" s="11">
        <v>0</v>
      </c>
      <c r="O1944" s="4"/>
      <c r="P1944" s="4"/>
      <c r="Q1944" s="11">
        <v>0</v>
      </c>
      <c r="R1944" s="4"/>
      <c r="S1944" s="12"/>
    </row>
    <row r="1945" spans="1:19" x14ac:dyDescent="0.25">
      <c r="A1945" s="9" t="s">
        <v>485</v>
      </c>
      <c r="B1945" s="9" t="s">
        <v>485</v>
      </c>
      <c r="C1945" s="4">
        <v>201005644</v>
      </c>
      <c r="D1945" s="4"/>
      <c r="E1945" s="4" t="str">
        <f>"113162010"</f>
        <v>113162010</v>
      </c>
      <c r="F1945" s="10">
        <v>40445</v>
      </c>
      <c r="G1945" s="11">
        <v>7517</v>
      </c>
      <c r="H1945" s="11">
        <v>7517</v>
      </c>
      <c r="I1945" s="4" t="s">
        <v>1752</v>
      </c>
      <c r="J1945" s="4" t="s">
        <v>1753</v>
      </c>
      <c r="K1945" s="11">
        <v>0</v>
      </c>
      <c r="L1945" s="4"/>
      <c r="M1945" s="4"/>
      <c r="N1945" s="11">
        <v>0</v>
      </c>
      <c r="O1945" s="4"/>
      <c r="P1945" s="4"/>
      <c r="Q1945" s="11">
        <v>0</v>
      </c>
      <c r="R1945" s="4"/>
      <c r="S1945" s="12"/>
    </row>
    <row r="1946" spans="1:19" x14ac:dyDescent="0.25">
      <c r="A1946" s="9" t="s">
        <v>485</v>
      </c>
      <c r="B1946" s="9" t="s">
        <v>485</v>
      </c>
      <c r="C1946" s="4">
        <v>201005651</v>
      </c>
      <c r="D1946" s="4"/>
      <c r="E1946" s="4" t="str">
        <f>"112222010"</f>
        <v>112222010</v>
      </c>
      <c r="F1946" s="10">
        <v>40443</v>
      </c>
      <c r="G1946" s="11">
        <v>4114.3999999999996</v>
      </c>
      <c r="H1946" s="11">
        <v>4114.3999999999996</v>
      </c>
      <c r="I1946" s="4" t="s">
        <v>366</v>
      </c>
      <c r="J1946" s="4" t="s">
        <v>367</v>
      </c>
      <c r="K1946" s="11">
        <v>0</v>
      </c>
      <c r="L1946" s="4"/>
      <c r="M1946" s="4"/>
      <c r="N1946" s="11">
        <v>0</v>
      </c>
      <c r="O1946" s="4"/>
      <c r="P1946" s="4"/>
      <c r="Q1946" s="11">
        <v>0</v>
      </c>
      <c r="R1946" s="4"/>
      <c r="S1946" s="12"/>
    </row>
    <row r="1947" spans="1:19" x14ac:dyDescent="0.25">
      <c r="A1947" s="9" t="s">
        <v>485</v>
      </c>
      <c r="B1947" s="9" t="s">
        <v>485</v>
      </c>
      <c r="C1947" s="4">
        <v>201005655</v>
      </c>
      <c r="D1947" s="4"/>
      <c r="E1947" s="4" t="str">
        <f>"112162010"</f>
        <v>112162010</v>
      </c>
      <c r="F1947" s="10">
        <v>40443</v>
      </c>
      <c r="G1947" s="11">
        <v>3321</v>
      </c>
      <c r="H1947" s="11">
        <v>3321</v>
      </c>
      <c r="I1947" s="4" t="s">
        <v>366</v>
      </c>
      <c r="J1947" s="4" t="s">
        <v>367</v>
      </c>
      <c r="K1947" s="11">
        <v>0</v>
      </c>
      <c r="L1947" s="4"/>
      <c r="M1947" s="4"/>
      <c r="N1947" s="11">
        <v>0</v>
      </c>
      <c r="O1947" s="4"/>
      <c r="P1947" s="4"/>
      <c r="Q1947" s="11">
        <v>0</v>
      </c>
      <c r="R1947" s="4"/>
      <c r="S1947" s="12"/>
    </row>
    <row r="1948" spans="1:19" x14ac:dyDescent="0.25">
      <c r="A1948" s="9" t="s">
        <v>485</v>
      </c>
      <c r="B1948" s="9" t="s">
        <v>485</v>
      </c>
      <c r="C1948" s="4">
        <v>201005662</v>
      </c>
      <c r="D1948" s="4"/>
      <c r="E1948" s="4" t="str">
        <f>"112742010"</f>
        <v>112742010</v>
      </c>
      <c r="F1948" s="10">
        <v>40443</v>
      </c>
      <c r="G1948" s="11">
        <v>11248.5</v>
      </c>
      <c r="H1948" s="11">
        <v>11248.5</v>
      </c>
      <c r="I1948" s="4" t="s">
        <v>366</v>
      </c>
      <c r="J1948" s="4" t="s">
        <v>367</v>
      </c>
      <c r="K1948" s="11">
        <v>0</v>
      </c>
      <c r="L1948" s="4"/>
      <c r="M1948" s="4"/>
      <c r="N1948" s="11">
        <v>0</v>
      </c>
      <c r="O1948" s="4"/>
      <c r="P1948" s="4"/>
      <c r="Q1948" s="11">
        <v>0</v>
      </c>
      <c r="R1948" s="4"/>
      <c r="S1948" s="12"/>
    </row>
    <row r="1949" spans="1:19" x14ac:dyDescent="0.25">
      <c r="A1949" s="9" t="s">
        <v>485</v>
      </c>
      <c r="B1949" s="9" t="s">
        <v>485</v>
      </c>
      <c r="C1949" s="4">
        <v>201005675</v>
      </c>
      <c r="D1949" s="4"/>
      <c r="E1949" s="4" t="str">
        <f>"113362010"</f>
        <v>113362010</v>
      </c>
      <c r="F1949" s="10">
        <v>40445</v>
      </c>
      <c r="G1949" s="11">
        <v>2530.36</v>
      </c>
      <c r="H1949" s="11">
        <v>2530.36</v>
      </c>
      <c r="I1949" s="4" t="s">
        <v>366</v>
      </c>
      <c r="J1949" s="4" t="s">
        <v>367</v>
      </c>
      <c r="K1949" s="11">
        <v>0</v>
      </c>
      <c r="L1949" s="4"/>
      <c r="M1949" s="4"/>
      <c r="N1949" s="11">
        <v>0</v>
      </c>
      <c r="O1949" s="4"/>
      <c r="P1949" s="4"/>
      <c r="Q1949" s="11">
        <v>0</v>
      </c>
      <c r="R1949" s="4"/>
      <c r="S1949" s="12"/>
    </row>
    <row r="1950" spans="1:19" x14ac:dyDescent="0.25">
      <c r="A1950" s="9" t="s">
        <v>485</v>
      </c>
      <c r="B1950" s="9" t="s">
        <v>485</v>
      </c>
      <c r="C1950" s="4">
        <v>201005715</v>
      </c>
      <c r="D1950" s="4" t="s">
        <v>2534</v>
      </c>
      <c r="E1950" s="4" t="str">
        <f>"115372010"</f>
        <v>115372010</v>
      </c>
      <c r="F1950" s="10">
        <v>40450</v>
      </c>
      <c r="G1950" s="11">
        <v>6820</v>
      </c>
      <c r="H1950" s="11">
        <v>5456</v>
      </c>
      <c r="I1950" s="4" t="s">
        <v>366</v>
      </c>
      <c r="J1950" s="4" t="s">
        <v>367</v>
      </c>
      <c r="K1950" s="11">
        <v>1364</v>
      </c>
      <c r="L1950" s="4" t="s">
        <v>366</v>
      </c>
      <c r="M1950" s="4" t="s">
        <v>367</v>
      </c>
      <c r="N1950" s="11">
        <v>0</v>
      </c>
      <c r="O1950" s="4"/>
      <c r="P1950" s="4"/>
      <c r="Q1950" s="11">
        <v>0</v>
      </c>
      <c r="R1950" s="4"/>
      <c r="S1950" s="12"/>
    </row>
    <row r="1951" spans="1:19" x14ac:dyDescent="0.25">
      <c r="A1951" s="9" t="s">
        <v>485</v>
      </c>
      <c r="B1951" s="9" t="s">
        <v>485</v>
      </c>
      <c r="C1951" s="4">
        <v>201005730</v>
      </c>
      <c r="D1951" s="4"/>
      <c r="E1951" s="4" t="str">
        <f>"114512010"</f>
        <v>114512010</v>
      </c>
      <c r="F1951" s="10">
        <v>40450</v>
      </c>
      <c r="G1951" s="11">
        <v>3344.11</v>
      </c>
      <c r="H1951" s="11">
        <v>3344.11</v>
      </c>
      <c r="I1951" s="4" t="s">
        <v>366</v>
      </c>
      <c r="J1951" s="4" t="s">
        <v>367</v>
      </c>
      <c r="K1951" s="11">
        <v>0</v>
      </c>
      <c r="L1951" s="4"/>
      <c r="M1951" s="4"/>
      <c r="N1951" s="11">
        <v>0</v>
      </c>
      <c r="O1951" s="4"/>
      <c r="P1951" s="4"/>
      <c r="Q1951" s="11">
        <v>0</v>
      </c>
      <c r="R1951" s="4"/>
      <c r="S1951" s="12"/>
    </row>
    <row r="1952" spans="1:19" x14ac:dyDescent="0.25">
      <c r="A1952" s="9" t="s">
        <v>485</v>
      </c>
      <c r="B1952" s="9" t="s">
        <v>485</v>
      </c>
      <c r="C1952" s="4">
        <v>201005738</v>
      </c>
      <c r="D1952" s="4"/>
      <c r="E1952" s="4" t="str">
        <f>"114952010"</f>
        <v>114952010</v>
      </c>
      <c r="F1952" s="10">
        <v>40449</v>
      </c>
      <c r="G1952" s="11">
        <v>4530</v>
      </c>
      <c r="H1952" s="11">
        <v>4530</v>
      </c>
      <c r="I1952" s="4" t="s">
        <v>366</v>
      </c>
      <c r="J1952" s="4" t="s">
        <v>367</v>
      </c>
      <c r="K1952" s="11">
        <v>0</v>
      </c>
      <c r="L1952" s="4"/>
      <c r="M1952" s="4"/>
      <c r="N1952" s="11">
        <v>0</v>
      </c>
      <c r="O1952" s="4"/>
      <c r="P1952" s="4"/>
      <c r="Q1952" s="11">
        <v>0</v>
      </c>
      <c r="R1952" s="4"/>
      <c r="S1952" s="12"/>
    </row>
    <row r="1953" spans="1:19" x14ac:dyDescent="0.25">
      <c r="A1953" s="9" t="s">
        <v>552</v>
      </c>
      <c r="B1953" s="9" t="s">
        <v>552</v>
      </c>
      <c r="C1953" s="4">
        <v>201000262</v>
      </c>
      <c r="D1953" s="4"/>
      <c r="E1953" s="4" t="str">
        <f>"006472010"</f>
        <v>006472010</v>
      </c>
      <c r="F1953" s="10">
        <v>40115</v>
      </c>
      <c r="G1953" s="11">
        <v>11357.2</v>
      </c>
      <c r="H1953" s="11">
        <v>11357.2</v>
      </c>
      <c r="I1953" s="4" t="s">
        <v>366</v>
      </c>
      <c r="J1953" s="4" t="s">
        <v>367</v>
      </c>
      <c r="K1953" s="11">
        <v>0</v>
      </c>
      <c r="L1953" s="4"/>
      <c r="M1953" s="4"/>
      <c r="N1953" s="11">
        <v>0</v>
      </c>
      <c r="O1953" s="4"/>
      <c r="P1953" s="4"/>
      <c r="Q1953" s="11">
        <v>0</v>
      </c>
      <c r="R1953" s="4"/>
      <c r="S1953" s="12"/>
    </row>
    <row r="1954" spans="1:19" x14ac:dyDescent="0.25">
      <c r="A1954" s="9" t="s">
        <v>552</v>
      </c>
      <c r="B1954" s="9" t="s">
        <v>552</v>
      </c>
      <c r="C1954" s="4">
        <v>201000488</v>
      </c>
      <c r="D1954" s="4"/>
      <c r="E1954" s="4" t="str">
        <f>"008392010"</f>
        <v>008392010</v>
      </c>
      <c r="F1954" s="10">
        <v>40120</v>
      </c>
      <c r="G1954" s="11">
        <v>3133.94</v>
      </c>
      <c r="H1954" s="11">
        <v>3133.94</v>
      </c>
      <c r="I1954" s="4" t="s">
        <v>366</v>
      </c>
      <c r="J1954" s="4" t="s">
        <v>367</v>
      </c>
      <c r="K1954" s="11">
        <v>0</v>
      </c>
      <c r="L1954" s="4"/>
      <c r="M1954" s="4"/>
      <c r="N1954" s="11">
        <v>0</v>
      </c>
      <c r="O1954" s="4"/>
      <c r="P1954" s="4"/>
      <c r="Q1954" s="11">
        <v>0</v>
      </c>
      <c r="R1954" s="4"/>
      <c r="S1954" s="12"/>
    </row>
    <row r="1955" spans="1:19" x14ac:dyDescent="0.25">
      <c r="A1955" s="9" t="s">
        <v>552</v>
      </c>
      <c r="B1955" s="9" t="s">
        <v>552</v>
      </c>
      <c r="C1955" s="4">
        <v>201000558</v>
      </c>
      <c r="D1955" s="4"/>
      <c r="E1955" s="4" t="str">
        <f>"010172010"</f>
        <v>010172010</v>
      </c>
      <c r="F1955" s="10">
        <v>40123</v>
      </c>
      <c r="G1955" s="11">
        <v>8168.87</v>
      </c>
      <c r="H1955" s="11">
        <v>8168.87</v>
      </c>
      <c r="I1955" s="4" t="s">
        <v>366</v>
      </c>
      <c r="J1955" s="4" t="s">
        <v>367</v>
      </c>
      <c r="K1955" s="11">
        <v>0</v>
      </c>
      <c r="L1955" s="4"/>
      <c r="M1955" s="4"/>
      <c r="N1955" s="11">
        <v>0</v>
      </c>
      <c r="O1955" s="4"/>
      <c r="P1955" s="4"/>
      <c r="Q1955" s="11">
        <v>0</v>
      </c>
      <c r="R1955" s="4"/>
      <c r="S1955" s="12"/>
    </row>
    <row r="1956" spans="1:19" x14ac:dyDescent="0.25">
      <c r="A1956" s="9" t="s">
        <v>552</v>
      </c>
      <c r="B1956" s="9" t="s">
        <v>552</v>
      </c>
      <c r="C1956" s="4">
        <v>201000571</v>
      </c>
      <c r="D1956" s="4"/>
      <c r="E1956" s="4" t="str">
        <f>"010772010"</f>
        <v>010772010</v>
      </c>
      <c r="F1956" s="10">
        <v>40127</v>
      </c>
      <c r="G1956" s="11">
        <v>15000</v>
      </c>
      <c r="H1956" s="11">
        <v>15000</v>
      </c>
      <c r="I1956" s="4" t="s">
        <v>366</v>
      </c>
      <c r="J1956" s="4" t="s">
        <v>367</v>
      </c>
      <c r="K1956" s="11">
        <v>0</v>
      </c>
      <c r="L1956" s="4"/>
      <c r="M1956" s="4"/>
      <c r="N1956" s="11">
        <v>0</v>
      </c>
      <c r="O1956" s="4"/>
      <c r="P1956" s="4"/>
      <c r="Q1956" s="11">
        <v>0</v>
      </c>
      <c r="R1956" s="4"/>
      <c r="S1956" s="12"/>
    </row>
    <row r="1957" spans="1:19" x14ac:dyDescent="0.25">
      <c r="A1957" s="9" t="s">
        <v>552</v>
      </c>
      <c r="B1957" s="9" t="s">
        <v>552</v>
      </c>
      <c r="C1957" s="4">
        <v>201001107</v>
      </c>
      <c r="D1957" s="4" t="s">
        <v>2144</v>
      </c>
      <c r="E1957" s="4" t="str">
        <f>"021332010"</f>
        <v>021332010</v>
      </c>
      <c r="F1957" s="10">
        <v>40161</v>
      </c>
      <c r="G1957" s="11">
        <v>7319.67</v>
      </c>
      <c r="H1957" s="11">
        <v>7319.67</v>
      </c>
      <c r="I1957" s="4" t="s">
        <v>366</v>
      </c>
      <c r="J1957" s="4" t="s">
        <v>367</v>
      </c>
      <c r="K1957" s="11">
        <v>0</v>
      </c>
      <c r="L1957" s="4"/>
      <c r="M1957" s="4"/>
      <c r="N1957" s="11">
        <v>0</v>
      </c>
      <c r="O1957" s="4"/>
      <c r="P1957" s="4"/>
      <c r="Q1957" s="11">
        <v>0</v>
      </c>
      <c r="R1957" s="4"/>
      <c r="S1957" s="12"/>
    </row>
    <row r="1958" spans="1:19" x14ac:dyDescent="0.25">
      <c r="A1958" s="9" t="s">
        <v>552</v>
      </c>
      <c r="B1958" s="9" t="s">
        <v>552</v>
      </c>
      <c r="C1958" s="4">
        <v>201002740</v>
      </c>
      <c r="D1958" s="4"/>
      <c r="E1958" s="4" t="str">
        <f>"057282010"</f>
        <v>057282010</v>
      </c>
      <c r="F1958" s="10">
        <v>40296</v>
      </c>
      <c r="G1958" s="11">
        <v>2892.79</v>
      </c>
      <c r="H1958" s="11">
        <v>2892.79</v>
      </c>
      <c r="I1958" s="4" t="s">
        <v>366</v>
      </c>
      <c r="J1958" s="4" t="s">
        <v>367</v>
      </c>
      <c r="K1958" s="11">
        <v>0</v>
      </c>
      <c r="L1958" s="4"/>
      <c r="M1958" s="4"/>
      <c r="N1958" s="11">
        <v>0</v>
      </c>
      <c r="O1958" s="4"/>
      <c r="P1958" s="4"/>
      <c r="Q1958" s="11">
        <v>0</v>
      </c>
      <c r="R1958" s="4"/>
      <c r="S1958" s="12"/>
    </row>
    <row r="1959" spans="1:19" x14ac:dyDescent="0.25">
      <c r="A1959" s="9" t="s">
        <v>552</v>
      </c>
      <c r="B1959" s="9" t="s">
        <v>552</v>
      </c>
      <c r="C1959" s="4">
        <v>201002940</v>
      </c>
      <c r="D1959" s="4"/>
      <c r="E1959" s="4" t="str">
        <f>"060822010"</f>
        <v>060822010</v>
      </c>
      <c r="F1959" s="10">
        <v>40290</v>
      </c>
      <c r="G1959" s="11">
        <v>3265.6</v>
      </c>
      <c r="H1959" s="11">
        <v>3265.6</v>
      </c>
      <c r="I1959" s="4" t="s">
        <v>366</v>
      </c>
      <c r="J1959" s="4" t="s">
        <v>367</v>
      </c>
      <c r="K1959" s="11">
        <v>0</v>
      </c>
      <c r="L1959" s="4"/>
      <c r="M1959" s="4"/>
      <c r="N1959" s="11">
        <v>0</v>
      </c>
      <c r="O1959" s="4"/>
      <c r="P1959" s="4"/>
      <c r="Q1959" s="11">
        <v>0</v>
      </c>
      <c r="R1959" s="4"/>
      <c r="S1959" s="12"/>
    </row>
    <row r="1960" spans="1:19" x14ac:dyDescent="0.25">
      <c r="A1960" s="9" t="s">
        <v>552</v>
      </c>
      <c r="B1960" s="9" t="s">
        <v>552</v>
      </c>
      <c r="C1960" s="4">
        <v>201003227</v>
      </c>
      <c r="D1960" s="4" t="s">
        <v>2145</v>
      </c>
      <c r="E1960" s="4" t="str">
        <f>"064882010"</f>
        <v>064882010</v>
      </c>
      <c r="F1960" s="10">
        <v>40302</v>
      </c>
      <c r="G1960" s="11">
        <v>22000</v>
      </c>
      <c r="H1960" s="11">
        <v>22000</v>
      </c>
      <c r="I1960" s="4" t="s">
        <v>366</v>
      </c>
      <c r="J1960" s="4" t="s">
        <v>367</v>
      </c>
      <c r="K1960" s="11">
        <v>0</v>
      </c>
      <c r="L1960" s="4"/>
      <c r="M1960" s="4"/>
      <c r="N1960" s="11">
        <v>0</v>
      </c>
      <c r="O1960" s="4"/>
      <c r="P1960" s="4"/>
      <c r="Q1960" s="11">
        <v>0</v>
      </c>
      <c r="R1960" s="4"/>
      <c r="S1960" s="12"/>
    </row>
    <row r="1961" spans="1:19" x14ac:dyDescent="0.25">
      <c r="A1961" s="9" t="s">
        <v>552</v>
      </c>
      <c r="B1961" s="9" t="s">
        <v>552</v>
      </c>
      <c r="C1961" s="4">
        <v>201004103</v>
      </c>
      <c r="D1961" s="4"/>
      <c r="E1961" s="4" t="str">
        <f>"080682010"</f>
        <v>080682010</v>
      </c>
      <c r="F1961" s="10">
        <v>40346</v>
      </c>
      <c r="G1961" s="11">
        <v>4623.43</v>
      </c>
      <c r="H1961" s="11">
        <v>4623.43</v>
      </c>
      <c r="I1961" s="4" t="s">
        <v>366</v>
      </c>
      <c r="J1961" s="4" t="s">
        <v>367</v>
      </c>
      <c r="K1961" s="11">
        <v>0</v>
      </c>
      <c r="L1961" s="4"/>
      <c r="M1961" s="4"/>
      <c r="N1961" s="11">
        <v>0</v>
      </c>
      <c r="O1961" s="4"/>
      <c r="P1961" s="4"/>
      <c r="Q1961" s="11">
        <v>0</v>
      </c>
      <c r="R1961" s="4"/>
      <c r="S1961" s="12"/>
    </row>
    <row r="1962" spans="1:19" x14ac:dyDescent="0.25">
      <c r="A1962" s="9" t="s">
        <v>552</v>
      </c>
      <c r="B1962" s="9" t="s">
        <v>552</v>
      </c>
      <c r="C1962" s="4">
        <v>201004815</v>
      </c>
      <c r="D1962" s="4"/>
      <c r="E1962" s="4" t="str">
        <f>"096492010"</f>
        <v>096492010</v>
      </c>
      <c r="F1962" s="10">
        <v>40387</v>
      </c>
      <c r="G1962" s="11">
        <v>6500</v>
      </c>
      <c r="H1962" s="11">
        <v>6500</v>
      </c>
      <c r="I1962" s="4" t="s">
        <v>366</v>
      </c>
      <c r="J1962" s="4" t="s">
        <v>367</v>
      </c>
      <c r="K1962" s="11">
        <v>0</v>
      </c>
      <c r="L1962" s="4"/>
      <c r="M1962" s="4"/>
      <c r="N1962" s="11">
        <v>0</v>
      </c>
      <c r="O1962" s="4"/>
      <c r="P1962" s="4"/>
      <c r="Q1962" s="11">
        <v>0</v>
      </c>
      <c r="R1962" s="4"/>
      <c r="S1962" s="12"/>
    </row>
    <row r="1963" spans="1:19" x14ac:dyDescent="0.25">
      <c r="A1963" s="9" t="s">
        <v>552</v>
      </c>
      <c r="B1963" s="9" t="s">
        <v>552</v>
      </c>
      <c r="C1963" s="4">
        <v>201005238</v>
      </c>
      <c r="D1963" s="4"/>
      <c r="E1963" s="4" t="str">
        <f>"104992010"</f>
        <v>104992010</v>
      </c>
      <c r="F1963" s="10">
        <v>40415</v>
      </c>
      <c r="G1963" s="11">
        <v>6038.34</v>
      </c>
      <c r="H1963" s="11">
        <v>6038.34</v>
      </c>
      <c r="I1963" s="4" t="s">
        <v>366</v>
      </c>
      <c r="J1963" s="4" t="s">
        <v>367</v>
      </c>
      <c r="K1963" s="11">
        <v>0</v>
      </c>
      <c r="L1963" s="4"/>
      <c r="M1963" s="4"/>
      <c r="N1963" s="11">
        <v>0</v>
      </c>
      <c r="O1963" s="4"/>
      <c r="P1963" s="4"/>
      <c r="Q1963" s="11">
        <v>0</v>
      </c>
      <c r="R1963" s="4"/>
      <c r="S1963" s="12"/>
    </row>
    <row r="1964" spans="1:19" x14ac:dyDescent="0.25">
      <c r="A1964" s="9" t="s">
        <v>2146</v>
      </c>
      <c r="B1964" s="9" t="s">
        <v>564</v>
      </c>
      <c r="C1964" s="4">
        <v>201004930</v>
      </c>
      <c r="D1964" s="4"/>
      <c r="E1964" s="4" t="str">
        <f>"098842010"</f>
        <v>098842010</v>
      </c>
      <c r="F1964" s="10">
        <v>40396</v>
      </c>
      <c r="G1964" s="11">
        <v>3945.72</v>
      </c>
      <c r="H1964" s="11">
        <v>3945.72</v>
      </c>
      <c r="I1964" s="4" t="s">
        <v>366</v>
      </c>
      <c r="J1964" s="4" t="s">
        <v>367</v>
      </c>
      <c r="K1964" s="11">
        <v>0</v>
      </c>
      <c r="L1964" s="4"/>
      <c r="M1964" s="4"/>
      <c r="N1964" s="11">
        <v>0</v>
      </c>
      <c r="O1964" s="4"/>
      <c r="P1964" s="4"/>
      <c r="Q1964" s="11">
        <v>0</v>
      </c>
      <c r="R1964" s="4"/>
      <c r="S1964" s="12"/>
    </row>
    <row r="1965" spans="1:19" x14ac:dyDescent="0.25">
      <c r="A1965" s="9" t="s">
        <v>569</v>
      </c>
      <c r="B1965" s="9" t="s">
        <v>291</v>
      </c>
      <c r="C1965" s="4">
        <v>201003232</v>
      </c>
      <c r="D1965" s="4" t="s">
        <v>2147</v>
      </c>
      <c r="E1965" s="4" t="str">
        <f>"064712010"</f>
        <v>064712010</v>
      </c>
      <c r="F1965" s="10">
        <v>40302</v>
      </c>
      <c r="G1965" s="11">
        <v>9000</v>
      </c>
      <c r="H1965" s="11">
        <v>9000</v>
      </c>
      <c r="I1965" s="4" t="s">
        <v>38</v>
      </c>
      <c r="J1965" s="4" t="s">
        <v>39</v>
      </c>
      <c r="K1965" s="11">
        <v>0</v>
      </c>
      <c r="L1965" s="4"/>
      <c r="M1965" s="4"/>
      <c r="N1965" s="11">
        <v>0</v>
      </c>
      <c r="O1965" s="4"/>
      <c r="P1965" s="4"/>
      <c r="Q1965" s="11">
        <v>0</v>
      </c>
      <c r="R1965" s="4"/>
      <c r="S1965" s="12"/>
    </row>
    <row r="1966" spans="1:19" x14ac:dyDescent="0.25">
      <c r="A1966" s="9" t="s">
        <v>569</v>
      </c>
      <c r="B1966" s="9" t="s">
        <v>569</v>
      </c>
      <c r="C1966" s="4">
        <v>201005156</v>
      </c>
      <c r="D1966" s="4"/>
      <c r="E1966" s="4" t="str">
        <f>"102432010"</f>
        <v>102432010</v>
      </c>
      <c r="F1966" s="10">
        <v>40409</v>
      </c>
      <c r="G1966" s="11">
        <v>3386.58</v>
      </c>
      <c r="H1966" s="11">
        <v>3386.58</v>
      </c>
      <c r="I1966" s="4" t="s">
        <v>366</v>
      </c>
      <c r="J1966" s="4" t="s">
        <v>367</v>
      </c>
      <c r="K1966" s="11">
        <v>0</v>
      </c>
      <c r="L1966" s="4"/>
      <c r="M1966" s="4"/>
      <c r="N1966" s="11">
        <v>0</v>
      </c>
      <c r="O1966" s="4"/>
      <c r="P1966" s="4"/>
      <c r="Q1966" s="11">
        <v>0</v>
      </c>
      <c r="R1966" s="4"/>
      <c r="S1966" s="12"/>
    </row>
    <row r="1967" spans="1:19" x14ac:dyDescent="0.25">
      <c r="A1967" s="9" t="s">
        <v>571</v>
      </c>
      <c r="B1967" s="9" t="s">
        <v>571</v>
      </c>
      <c r="C1967" s="4">
        <v>200905492</v>
      </c>
      <c r="D1967" s="4"/>
      <c r="E1967" s="4" t="str">
        <f>"086552009"</f>
        <v>086552009</v>
      </c>
      <c r="F1967" s="10">
        <v>40091</v>
      </c>
      <c r="G1967" s="11">
        <v>3277.34</v>
      </c>
      <c r="H1967" s="11">
        <v>3277.34</v>
      </c>
      <c r="I1967" s="4" t="s">
        <v>366</v>
      </c>
      <c r="J1967" s="4" t="s">
        <v>367</v>
      </c>
      <c r="K1967" s="11">
        <v>0</v>
      </c>
      <c r="L1967" s="4"/>
      <c r="M1967" s="4"/>
      <c r="N1967" s="11">
        <v>0</v>
      </c>
      <c r="O1967" s="4"/>
      <c r="P1967" s="4"/>
      <c r="Q1967" s="11">
        <v>0</v>
      </c>
      <c r="R1967" s="4"/>
      <c r="S1967" s="12"/>
    </row>
    <row r="1968" spans="1:19" x14ac:dyDescent="0.25">
      <c r="A1968" s="9" t="s">
        <v>571</v>
      </c>
      <c r="B1968" s="9" t="s">
        <v>571</v>
      </c>
      <c r="C1968" s="4">
        <v>200905558</v>
      </c>
      <c r="D1968" s="4"/>
      <c r="E1968" s="4" t="str">
        <f>"088092009"</f>
        <v>088092009</v>
      </c>
      <c r="F1968" s="10">
        <v>40105</v>
      </c>
      <c r="G1968" s="11">
        <v>50000</v>
      </c>
      <c r="H1968" s="11">
        <v>50000</v>
      </c>
      <c r="I1968" s="4" t="s">
        <v>687</v>
      </c>
      <c r="J1968" s="4" t="s">
        <v>688</v>
      </c>
      <c r="K1968" s="11">
        <v>0</v>
      </c>
      <c r="L1968" s="4"/>
      <c r="M1968" s="4"/>
      <c r="N1968" s="11">
        <v>0</v>
      </c>
      <c r="O1968" s="4"/>
      <c r="P1968" s="4"/>
      <c r="Q1968" s="11">
        <v>0</v>
      </c>
      <c r="R1968" s="4"/>
      <c r="S1968" s="12"/>
    </row>
    <row r="1969" spans="1:19" x14ac:dyDescent="0.25">
      <c r="A1969" s="9" t="s">
        <v>571</v>
      </c>
      <c r="B1969" s="9" t="s">
        <v>571</v>
      </c>
      <c r="C1969" s="4">
        <v>200905852</v>
      </c>
      <c r="D1969" s="4" t="s">
        <v>2148</v>
      </c>
      <c r="E1969" s="4" t="str">
        <f>"086402009"</f>
        <v>086402009</v>
      </c>
      <c r="F1969" s="10">
        <v>40092</v>
      </c>
      <c r="G1969" s="11">
        <v>11500</v>
      </c>
      <c r="H1969" s="11">
        <v>11500</v>
      </c>
      <c r="I1969" s="4" t="s">
        <v>687</v>
      </c>
      <c r="J1969" s="4" t="s">
        <v>688</v>
      </c>
      <c r="K1969" s="11">
        <v>0</v>
      </c>
      <c r="L1969" s="4"/>
      <c r="M1969" s="4"/>
      <c r="N1969" s="11">
        <v>0</v>
      </c>
      <c r="O1969" s="4"/>
      <c r="P1969" s="4"/>
      <c r="Q1969" s="11">
        <v>0</v>
      </c>
      <c r="R1969" s="4"/>
      <c r="S1969" s="12"/>
    </row>
    <row r="1970" spans="1:19" x14ac:dyDescent="0.25">
      <c r="A1970" s="9" t="s">
        <v>571</v>
      </c>
      <c r="B1970" s="9" t="s">
        <v>571</v>
      </c>
      <c r="C1970" s="4">
        <v>200905861</v>
      </c>
      <c r="D1970" s="4"/>
      <c r="E1970" s="4" t="str">
        <f>"088602009"</f>
        <v>088602009</v>
      </c>
      <c r="F1970" s="10">
        <v>40396</v>
      </c>
      <c r="G1970" s="11">
        <v>2624.8</v>
      </c>
      <c r="H1970" s="11">
        <v>2624.8</v>
      </c>
      <c r="I1970" s="4" t="s">
        <v>366</v>
      </c>
      <c r="J1970" s="4" t="s">
        <v>367</v>
      </c>
      <c r="K1970" s="11">
        <v>0</v>
      </c>
      <c r="L1970" s="4"/>
      <c r="M1970" s="4"/>
      <c r="N1970" s="11">
        <v>0</v>
      </c>
      <c r="O1970" s="4"/>
      <c r="P1970" s="4"/>
      <c r="Q1970" s="11">
        <v>0</v>
      </c>
      <c r="R1970" s="4"/>
      <c r="S1970" s="12"/>
    </row>
    <row r="1971" spans="1:19" x14ac:dyDescent="0.25">
      <c r="A1971" s="9" t="s">
        <v>571</v>
      </c>
      <c r="B1971" s="9" t="s">
        <v>571</v>
      </c>
      <c r="C1971" s="4">
        <v>200905892</v>
      </c>
      <c r="D1971" s="4"/>
      <c r="E1971" s="4" t="str">
        <f>"087062009"</f>
        <v>087062009</v>
      </c>
      <c r="F1971" s="10">
        <v>40092</v>
      </c>
      <c r="G1971" s="11">
        <v>5001</v>
      </c>
      <c r="H1971" s="11">
        <v>5001</v>
      </c>
      <c r="I1971" s="4" t="s">
        <v>366</v>
      </c>
      <c r="J1971" s="4" t="s">
        <v>367</v>
      </c>
      <c r="K1971" s="11">
        <v>0</v>
      </c>
      <c r="L1971" s="4"/>
      <c r="M1971" s="4"/>
      <c r="N1971" s="11">
        <v>0</v>
      </c>
      <c r="O1971" s="4"/>
      <c r="P1971" s="4"/>
      <c r="Q1971" s="11">
        <v>0</v>
      </c>
      <c r="R1971" s="4"/>
      <c r="S1971" s="12"/>
    </row>
    <row r="1972" spans="1:19" x14ac:dyDescent="0.25">
      <c r="A1972" s="9" t="s">
        <v>571</v>
      </c>
      <c r="B1972" s="9" t="s">
        <v>571</v>
      </c>
      <c r="C1972" s="4">
        <v>200905896</v>
      </c>
      <c r="D1972" s="4" t="s">
        <v>2149</v>
      </c>
      <c r="E1972" s="4" t="str">
        <f>"087102009"</f>
        <v>087102009</v>
      </c>
      <c r="F1972" s="10">
        <v>40092</v>
      </c>
      <c r="G1972" s="11">
        <v>20000</v>
      </c>
      <c r="H1972" s="11">
        <v>20000</v>
      </c>
      <c r="I1972" s="4" t="s">
        <v>366</v>
      </c>
      <c r="J1972" s="4" t="s">
        <v>367</v>
      </c>
      <c r="K1972" s="11">
        <v>0</v>
      </c>
      <c r="L1972" s="4"/>
      <c r="M1972" s="4"/>
      <c r="N1972" s="11">
        <v>0</v>
      </c>
      <c r="O1972" s="4"/>
      <c r="P1972" s="4"/>
      <c r="Q1972" s="11">
        <v>0</v>
      </c>
      <c r="R1972" s="4"/>
      <c r="S1972" s="12"/>
    </row>
    <row r="1973" spans="1:19" x14ac:dyDescent="0.25">
      <c r="A1973" s="9" t="s">
        <v>571</v>
      </c>
      <c r="B1973" s="9" t="s">
        <v>571</v>
      </c>
      <c r="C1973" s="4">
        <v>200905899</v>
      </c>
      <c r="D1973" s="4"/>
      <c r="E1973" s="4" t="str">
        <f>"086502009"</f>
        <v>086502009</v>
      </c>
      <c r="F1973" s="10">
        <v>40091</v>
      </c>
      <c r="G1973" s="11">
        <v>10771.56</v>
      </c>
      <c r="H1973" s="11">
        <v>10771.56</v>
      </c>
      <c r="I1973" s="4" t="s">
        <v>366</v>
      </c>
      <c r="J1973" s="4" t="s">
        <v>367</v>
      </c>
      <c r="K1973" s="11">
        <v>0</v>
      </c>
      <c r="L1973" s="4"/>
      <c r="M1973" s="4"/>
      <c r="N1973" s="11">
        <v>0</v>
      </c>
      <c r="O1973" s="4"/>
      <c r="P1973" s="4"/>
      <c r="Q1973" s="11">
        <v>0</v>
      </c>
      <c r="R1973" s="4"/>
      <c r="S1973" s="12"/>
    </row>
    <row r="1974" spans="1:19" x14ac:dyDescent="0.25">
      <c r="A1974" s="9" t="s">
        <v>571</v>
      </c>
      <c r="B1974" s="9" t="s">
        <v>571</v>
      </c>
      <c r="C1974" s="4">
        <v>200905902</v>
      </c>
      <c r="D1974" s="4" t="s">
        <v>2150</v>
      </c>
      <c r="E1974" s="4" t="str">
        <f>"088042009"</f>
        <v>088042009</v>
      </c>
      <c r="F1974" s="10">
        <v>40100</v>
      </c>
      <c r="G1974" s="11">
        <v>175000</v>
      </c>
      <c r="H1974" s="11">
        <v>175000</v>
      </c>
      <c r="I1974" s="4" t="s">
        <v>687</v>
      </c>
      <c r="J1974" s="4" t="s">
        <v>688</v>
      </c>
      <c r="K1974" s="11">
        <v>0</v>
      </c>
      <c r="L1974" s="4"/>
      <c r="M1974" s="4"/>
      <c r="N1974" s="11">
        <v>0</v>
      </c>
      <c r="O1974" s="4"/>
      <c r="P1974" s="4"/>
      <c r="Q1974" s="11">
        <v>0</v>
      </c>
      <c r="R1974" s="4"/>
      <c r="S1974" s="12"/>
    </row>
    <row r="1975" spans="1:19" x14ac:dyDescent="0.25">
      <c r="A1975" s="9" t="s">
        <v>571</v>
      </c>
      <c r="B1975" s="9" t="s">
        <v>571</v>
      </c>
      <c r="C1975" s="4">
        <v>200905906</v>
      </c>
      <c r="D1975" s="4" t="s">
        <v>2151</v>
      </c>
      <c r="E1975" s="4" t="str">
        <f>"086852009"</f>
        <v>086852009</v>
      </c>
      <c r="F1975" s="10">
        <v>40091</v>
      </c>
      <c r="G1975" s="11">
        <v>33000</v>
      </c>
      <c r="H1975" s="11">
        <v>33000</v>
      </c>
      <c r="I1975" s="4" t="s">
        <v>366</v>
      </c>
      <c r="J1975" s="4" t="s">
        <v>367</v>
      </c>
      <c r="K1975" s="11">
        <v>0</v>
      </c>
      <c r="L1975" s="4"/>
      <c r="M1975" s="4"/>
      <c r="N1975" s="11">
        <v>0</v>
      </c>
      <c r="O1975" s="4"/>
      <c r="P1975" s="4"/>
      <c r="Q1975" s="11">
        <v>0</v>
      </c>
      <c r="R1975" s="4"/>
      <c r="S1975" s="12"/>
    </row>
    <row r="1976" spans="1:19" x14ac:dyDescent="0.25">
      <c r="A1976" s="9" t="s">
        <v>571</v>
      </c>
      <c r="B1976" s="9" t="s">
        <v>571</v>
      </c>
      <c r="C1976" s="4">
        <v>200905913</v>
      </c>
      <c r="D1976" s="4"/>
      <c r="E1976" s="4" t="str">
        <f>"088132009"</f>
        <v>088132009</v>
      </c>
      <c r="F1976" s="10">
        <v>40102</v>
      </c>
      <c r="G1976" s="11">
        <v>2588.6</v>
      </c>
      <c r="H1976" s="11">
        <v>2588.6</v>
      </c>
      <c r="I1976" s="4" t="s">
        <v>366</v>
      </c>
      <c r="J1976" s="4" t="s">
        <v>367</v>
      </c>
      <c r="K1976" s="11">
        <v>0</v>
      </c>
      <c r="L1976" s="4"/>
      <c r="M1976" s="4"/>
      <c r="N1976" s="11">
        <v>0</v>
      </c>
      <c r="O1976" s="4"/>
      <c r="P1976" s="4"/>
      <c r="Q1976" s="11">
        <v>0</v>
      </c>
      <c r="R1976" s="4"/>
      <c r="S1976" s="12"/>
    </row>
    <row r="1977" spans="1:19" x14ac:dyDescent="0.25">
      <c r="A1977" s="9" t="s">
        <v>571</v>
      </c>
      <c r="B1977" s="9" t="s">
        <v>571</v>
      </c>
      <c r="C1977" s="4">
        <v>200905949</v>
      </c>
      <c r="D1977" s="4" t="s">
        <v>2152</v>
      </c>
      <c r="E1977" s="4" t="str">
        <f>"087792009"</f>
        <v>087792009</v>
      </c>
      <c r="F1977" s="10">
        <v>40092</v>
      </c>
      <c r="G1977" s="11">
        <v>350000</v>
      </c>
      <c r="H1977" s="11">
        <v>350000</v>
      </c>
      <c r="I1977" s="4" t="s">
        <v>687</v>
      </c>
      <c r="J1977" s="4" t="s">
        <v>688</v>
      </c>
      <c r="K1977" s="11">
        <v>0</v>
      </c>
      <c r="L1977" s="4"/>
      <c r="M1977" s="4"/>
      <c r="N1977" s="11">
        <v>0</v>
      </c>
      <c r="O1977" s="4"/>
      <c r="P1977" s="4"/>
      <c r="Q1977" s="11">
        <v>0</v>
      </c>
      <c r="R1977" s="4"/>
      <c r="S1977" s="12"/>
    </row>
    <row r="1978" spans="1:19" x14ac:dyDescent="0.25">
      <c r="A1978" s="9" t="s">
        <v>571</v>
      </c>
      <c r="B1978" s="9" t="s">
        <v>571</v>
      </c>
      <c r="C1978" s="4">
        <v>201000002</v>
      </c>
      <c r="D1978" s="4"/>
      <c r="E1978" s="4" t="str">
        <f>"000042010"</f>
        <v>000042010</v>
      </c>
      <c r="F1978" s="10">
        <v>40092</v>
      </c>
      <c r="G1978" s="11">
        <v>3405.78</v>
      </c>
      <c r="H1978" s="11">
        <v>3405.78</v>
      </c>
      <c r="I1978" s="4" t="s">
        <v>366</v>
      </c>
      <c r="J1978" s="4" t="s">
        <v>367</v>
      </c>
      <c r="K1978" s="11">
        <v>0</v>
      </c>
      <c r="L1978" s="4"/>
      <c r="M1978" s="4"/>
      <c r="N1978" s="11">
        <v>0</v>
      </c>
      <c r="O1978" s="4"/>
      <c r="P1978" s="4"/>
      <c r="Q1978" s="11">
        <v>0</v>
      </c>
      <c r="R1978" s="4"/>
      <c r="S1978" s="12"/>
    </row>
    <row r="1979" spans="1:19" x14ac:dyDescent="0.25">
      <c r="A1979" s="9" t="s">
        <v>571</v>
      </c>
      <c r="B1979" s="9" t="s">
        <v>571</v>
      </c>
      <c r="C1979" s="4">
        <v>201000016</v>
      </c>
      <c r="D1979" s="4" t="s">
        <v>2153</v>
      </c>
      <c r="E1979" s="4" t="str">
        <f>"000082010"</f>
        <v>000082010</v>
      </c>
      <c r="F1979" s="10">
        <v>40092</v>
      </c>
      <c r="G1979" s="11">
        <v>60000</v>
      </c>
      <c r="H1979" s="11">
        <v>60000</v>
      </c>
      <c r="I1979" s="4" t="s">
        <v>687</v>
      </c>
      <c r="J1979" s="4" t="s">
        <v>688</v>
      </c>
      <c r="K1979" s="11">
        <v>0</v>
      </c>
      <c r="L1979" s="4"/>
      <c r="M1979" s="4"/>
      <c r="N1979" s="11">
        <v>0</v>
      </c>
      <c r="O1979" s="4"/>
      <c r="P1979" s="4"/>
      <c r="Q1979" s="11">
        <v>0</v>
      </c>
      <c r="R1979" s="4"/>
      <c r="S1979" s="12"/>
    </row>
    <row r="1980" spans="1:19" x14ac:dyDescent="0.25">
      <c r="A1980" s="9" t="s">
        <v>571</v>
      </c>
      <c r="B1980" s="9" t="s">
        <v>571</v>
      </c>
      <c r="C1980" s="4">
        <v>201000018</v>
      </c>
      <c r="D1980" s="4"/>
      <c r="E1980" s="4" t="str">
        <f>"000102010"</f>
        <v>000102010</v>
      </c>
      <c r="F1980" s="10">
        <v>40092</v>
      </c>
      <c r="G1980" s="11">
        <v>100000</v>
      </c>
      <c r="H1980" s="11">
        <v>100000</v>
      </c>
      <c r="I1980" s="4" t="s">
        <v>687</v>
      </c>
      <c r="J1980" s="4" t="s">
        <v>688</v>
      </c>
      <c r="K1980" s="11">
        <v>0</v>
      </c>
      <c r="L1980" s="4"/>
      <c r="M1980" s="4"/>
      <c r="N1980" s="11">
        <v>0</v>
      </c>
      <c r="O1980" s="4"/>
      <c r="P1980" s="4"/>
      <c r="Q1980" s="11">
        <v>0</v>
      </c>
      <c r="R1980" s="4"/>
      <c r="S1980" s="12"/>
    </row>
    <row r="1981" spans="1:19" x14ac:dyDescent="0.25">
      <c r="A1981" s="9" t="s">
        <v>571</v>
      </c>
      <c r="B1981" s="9" t="s">
        <v>571</v>
      </c>
      <c r="C1981" s="4">
        <v>201000024</v>
      </c>
      <c r="D1981" s="4"/>
      <c r="E1981" s="4" t="str">
        <f>"000382010"</f>
        <v>000382010</v>
      </c>
      <c r="F1981" s="10">
        <v>40094</v>
      </c>
      <c r="G1981" s="11">
        <v>5000</v>
      </c>
      <c r="H1981" s="11">
        <v>5000</v>
      </c>
      <c r="I1981" s="4" t="s">
        <v>54</v>
      </c>
      <c r="J1981" s="4" t="s">
        <v>55</v>
      </c>
      <c r="K1981" s="11">
        <v>0</v>
      </c>
      <c r="L1981" s="4"/>
      <c r="M1981" s="4"/>
      <c r="N1981" s="11">
        <v>0</v>
      </c>
      <c r="O1981" s="4"/>
      <c r="P1981" s="4"/>
      <c r="Q1981" s="11">
        <v>0</v>
      </c>
      <c r="R1981" s="4"/>
      <c r="S1981" s="12"/>
    </row>
    <row r="1982" spans="1:19" x14ac:dyDescent="0.25">
      <c r="A1982" s="9" t="s">
        <v>571</v>
      </c>
      <c r="B1982" s="9" t="s">
        <v>571</v>
      </c>
      <c r="C1982" s="4">
        <v>201000073</v>
      </c>
      <c r="D1982" s="4" t="s">
        <v>2154</v>
      </c>
      <c r="E1982" s="4" t="str">
        <f>"003582010"</f>
        <v>003582010</v>
      </c>
      <c r="F1982" s="10">
        <v>40105</v>
      </c>
      <c r="G1982" s="11">
        <v>250000</v>
      </c>
      <c r="H1982" s="11">
        <v>250000</v>
      </c>
      <c r="I1982" s="4" t="s">
        <v>687</v>
      </c>
      <c r="J1982" s="4" t="s">
        <v>688</v>
      </c>
      <c r="K1982" s="11">
        <v>0</v>
      </c>
      <c r="L1982" s="4"/>
      <c r="M1982" s="4"/>
      <c r="N1982" s="11">
        <v>0</v>
      </c>
      <c r="O1982" s="4"/>
      <c r="P1982" s="4"/>
      <c r="Q1982" s="11">
        <v>0</v>
      </c>
      <c r="R1982" s="4"/>
      <c r="S1982" s="12"/>
    </row>
    <row r="1983" spans="1:19" x14ac:dyDescent="0.25">
      <c r="A1983" s="9" t="s">
        <v>571</v>
      </c>
      <c r="B1983" s="9" t="s">
        <v>571</v>
      </c>
      <c r="C1983" s="4">
        <v>201000106</v>
      </c>
      <c r="D1983" s="4"/>
      <c r="E1983" s="4" t="str">
        <f>"001762010"</f>
        <v>001762010</v>
      </c>
      <c r="F1983" s="10">
        <v>40094</v>
      </c>
      <c r="G1983" s="11">
        <v>5000</v>
      </c>
      <c r="H1983" s="11">
        <v>5000</v>
      </c>
      <c r="I1983" s="4" t="s">
        <v>54</v>
      </c>
      <c r="J1983" s="4" t="s">
        <v>55</v>
      </c>
      <c r="K1983" s="11">
        <v>0</v>
      </c>
      <c r="L1983" s="4"/>
      <c r="M1983" s="4"/>
      <c r="N1983" s="11">
        <v>0</v>
      </c>
      <c r="O1983" s="4"/>
      <c r="P1983" s="4"/>
      <c r="Q1983" s="11">
        <v>0</v>
      </c>
      <c r="R1983" s="4"/>
      <c r="S1983" s="12"/>
    </row>
    <row r="1984" spans="1:19" x14ac:dyDescent="0.25">
      <c r="A1984" s="9" t="s">
        <v>571</v>
      </c>
      <c r="B1984" s="9" t="s">
        <v>571</v>
      </c>
      <c r="C1984" s="4">
        <v>201000116</v>
      </c>
      <c r="D1984" s="4"/>
      <c r="E1984" s="4" t="str">
        <f>"001662010"</f>
        <v>001662010</v>
      </c>
      <c r="F1984" s="10">
        <v>40094</v>
      </c>
      <c r="G1984" s="11">
        <v>5136.42</v>
      </c>
      <c r="H1984" s="11">
        <v>5136.42</v>
      </c>
      <c r="I1984" s="4" t="s">
        <v>366</v>
      </c>
      <c r="J1984" s="4" t="s">
        <v>367</v>
      </c>
      <c r="K1984" s="11">
        <v>0</v>
      </c>
      <c r="L1984" s="4"/>
      <c r="M1984" s="4"/>
      <c r="N1984" s="11">
        <v>0</v>
      </c>
      <c r="O1984" s="4"/>
      <c r="P1984" s="4"/>
      <c r="Q1984" s="11">
        <v>0</v>
      </c>
      <c r="R1984" s="4"/>
      <c r="S1984" s="12"/>
    </row>
    <row r="1985" spans="1:19" x14ac:dyDescent="0.25">
      <c r="A1985" s="9" t="s">
        <v>571</v>
      </c>
      <c r="B1985" s="9" t="s">
        <v>571</v>
      </c>
      <c r="C1985" s="4">
        <v>201000117</v>
      </c>
      <c r="D1985" s="4" t="s">
        <v>2155</v>
      </c>
      <c r="E1985" s="4" t="str">
        <f>"001942010"</f>
        <v>001942010</v>
      </c>
      <c r="F1985" s="10">
        <v>40094</v>
      </c>
      <c r="G1985" s="11">
        <v>45000</v>
      </c>
      <c r="H1985" s="11">
        <v>45000</v>
      </c>
      <c r="I1985" s="4" t="s">
        <v>687</v>
      </c>
      <c r="J1985" s="4" t="s">
        <v>688</v>
      </c>
      <c r="K1985" s="11">
        <v>0</v>
      </c>
      <c r="L1985" s="4"/>
      <c r="M1985" s="4"/>
      <c r="N1985" s="11">
        <v>0</v>
      </c>
      <c r="O1985" s="4"/>
      <c r="P1985" s="4"/>
      <c r="Q1985" s="11">
        <v>0</v>
      </c>
      <c r="R1985" s="4"/>
      <c r="S1985" s="12"/>
    </row>
    <row r="1986" spans="1:19" x14ac:dyDescent="0.25">
      <c r="A1986" s="9" t="s">
        <v>571</v>
      </c>
      <c r="B1986" s="9" t="s">
        <v>571</v>
      </c>
      <c r="C1986" s="4">
        <v>201000136</v>
      </c>
      <c r="D1986" s="4"/>
      <c r="E1986" s="4" t="str">
        <f>"002122010"</f>
        <v>002122010</v>
      </c>
      <c r="F1986" s="10">
        <v>40095</v>
      </c>
      <c r="G1986" s="11">
        <v>18209.919999999998</v>
      </c>
      <c r="H1986" s="11">
        <v>18209.919999999998</v>
      </c>
      <c r="I1986" s="4" t="s">
        <v>366</v>
      </c>
      <c r="J1986" s="4" t="s">
        <v>367</v>
      </c>
      <c r="K1986" s="11">
        <v>0</v>
      </c>
      <c r="L1986" s="4"/>
      <c r="M1986" s="4"/>
      <c r="N1986" s="11">
        <v>0</v>
      </c>
      <c r="O1986" s="4"/>
      <c r="P1986" s="4"/>
      <c r="Q1986" s="11">
        <v>0</v>
      </c>
      <c r="R1986" s="4"/>
      <c r="S1986" s="12"/>
    </row>
    <row r="1987" spans="1:19" x14ac:dyDescent="0.25">
      <c r="A1987" s="9" t="s">
        <v>571</v>
      </c>
      <c r="B1987" s="9" t="s">
        <v>571</v>
      </c>
      <c r="C1987" s="4">
        <v>201000139</v>
      </c>
      <c r="D1987" s="4"/>
      <c r="E1987" s="4" t="str">
        <f>"002922010"</f>
        <v>002922010</v>
      </c>
      <c r="F1987" s="10">
        <v>40100</v>
      </c>
      <c r="G1987" s="11">
        <v>10000</v>
      </c>
      <c r="H1987" s="11">
        <v>10000</v>
      </c>
      <c r="I1987" s="4" t="s">
        <v>54</v>
      </c>
      <c r="J1987" s="4" t="s">
        <v>55</v>
      </c>
      <c r="K1987" s="11">
        <v>0</v>
      </c>
      <c r="L1987" s="4"/>
      <c r="M1987" s="4"/>
      <c r="N1987" s="11">
        <v>0</v>
      </c>
      <c r="O1987" s="4"/>
      <c r="P1987" s="4"/>
      <c r="Q1987" s="11">
        <v>0</v>
      </c>
      <c r="R1987" s="4"/>
      <c r="S1987" s="12"/>
    </row>
    <row r="1988" spans="1:19" x14ac:dyDescent="0.25">
      <c r="A1988" s="9" t="s">
        <v>571</v>
      </c>
      <c r="B1988" s="9" t="s">
        <v>571</v>
      </c>
      <c r="C1988" s="4">
        <v>201000167</v>
      </c>
      <c r="D1988" s="4"/>
      <c r="E1988" s="4" t="str">
        <f>"012392010"</f>
        <v>012392010</v>
      </c>
      <c r="F1988" s="10">
        <v>40133</v>
      </c>
      <c r="G1988" s="11">
        <v>75000</v>
      </c>
      <c r="H1988" s="11">
        <v>75000</v>
      </c>
      <c r="I1988" s="4" t="s">
        <v>687</v>
      </c>
      <c r="J1988" s="4" t="s">
        <v>688</v>
      </c>
      <c r="K1988" s="11">
        <v>0</v>
      </c>
      <c r="L1988" s="4"/>
      <c r="M1988" s="4"/>
      <c r="N1988" s="11">
        <v>0</v>
      </c>
      <c r="O1988" s="4"/>
      <c r="P1988" s="4"/>
      <c r="Q1988" s="11">
        <v>0</v>
      </c>
      <c r="R1988" s="4"/>
      <c r="S1988" s="12"/>
    </row>
    <row r="1989" spans="1:19" x14ac:dyDescent="0.25">
      <c r="A1989" s="9" t="s">
        <v>571</v>
      </c>
      <c r="B1989" s="9" t="s">
        <v>571</v>
      </c>
      <c r="C1989" s="4">
        <v>201000210</v>
      </c>
      <c r="D1989" s="4" t="s">
        <v>2156</v>
      </c>
      <c r="E1989" s="4" t="str">
        <f>"004082010"</f>
        <v>004082010</v>
      </c>
      <c r="F1989" s="10">
        <v>40105</v>
      </c>
      <c r="G1989" s="11">
        <v>100000</v>
      </c>
      <c r="H1989" s="11">
        <v>100000</v>
      </c>
      <c r="I1989" s="4" t="s">
        <v>54</v>
      </c>
      <c r="J1989" s="4" t="s">
        <v>55</v>
      </c>
      <c r="K1989" s="11">
        <v>0</v>
      </c>
      <c r="L1989" s="4"/>
      <c r="M1989" s="4"/>
      <c r="N1989" s="11">
        <v>0</v>
      </c>
      <c r="O1989" s="4"/>
      <c r="P1989" s="4"/>
      <c r="Q1989" s="11">
        <v>0</v>
      </c>
      <c r="R1989" s="4"/>
      <c r="S1989" s="12"/>
    </row>
    <row r="1990" spans="1:19" x14ac:dyDescent="0.25">
      <c r="A1990" s="9" t="s">
        <v>571</v>
      </c>
      <c r="B1990" s="9" t="s">
        <v>571</v>
      </c>
      <c r="C1990" s="4">
        <v>201000263</v>
      </c>
      <c r="D1990" s="4"/>
      <c r="E1990" s="4" t="str">
        <f>"005012010"</f>
        <v>005012010</v>
      </c>
      <c r="F1990" s="10">
        <v>40109</v>
      </c>
      <c r="G1990" s="11">
        <v>30000</v>
      </c>
      <c r="H1990" s="11">
        <v>30000</v>
      </c>
      <c r="I1990" s="4" t="s">
        <v>54</v>
      </c>
      <c r="J1990" s="4" t="s">
        <v>55</v>
      </c>
      <c r="K1990" s="11">
        <v>0</v>
      </c>
      <c r="L1990" s="4"/>
      <c r="M1990" s="4"/>
      <c r="N1990" s="11">
        <v>0</v>
      </c>
      <c r="O1990" s="4"/>
      <c r="P1990" s="4"/>
      <c r="Q1990" s="11">
        <v>0</v>
      </c>
      <c r="R1990" s="4"/>
      <c r="S1990" s="12"/>
    </row>
    <row r="1991" spans="1:19" x14ac:dyDescent="0.25">
      <c r="A1991" s="9" t="s">
        <v>571</v>
      </c>
      <c r="B1991" s="9" t="s">
        <v>571</v>
      </c>
      <c r="C1991" s="4">
        <v>201000294</v>
      </c>
      <c r="D1991" s="4" t="s">
        <v>2157</v>
      </c>
      <c r="E1991" s="4" t="str">
        <f>"005312010"</f>
        <v>005312010</v>
      </c>
      <c r="F1991" s="10">
        <v>40108</v>
      </c>
      <c r="G1991" s="11">
        <v>100000</v>
      </c>
      <c r="H1991" s="11">
        <v>100000</v>
      </c>
      <c r="I1991" s="4" t="s">
        <v>687</v>
      </c>
      <c r="J1991" s="4" t="s">
        <v>688</v>
      </c>
      <c r="K1991" s="11">
        <v>0</v>
      </c>
      <c r="L1991" s="4"/>
      <c r="M1991" s="4"/>
      <c r="N1991" s="11">
        <v>0</v>
      </c>
      <c r="O1991" s="4"/>
      <c r="P1991" s="4"/>
      <c r="Q1991" s="11">
        <v>0</v>
      </c>
      <c r="R1991" s="4"/>
      <c r="S1991" s="12"/>
    </row>
    <row r="1992" spans="1:19" x14ac:dyDescent="0.25">
      <c r="A1992" s="9" t="s">
        <v>571</v>
      </c>
      <c r="B1992" s="9" t="s">
        <v>571</v>
      </c>
      <c r="C1992" s="4">
        <v>201000295</v>
      </c>
      <c r="D1992" s="4"/>
      <c r="E1992" s="4" t="str">
        <f>"005332010"</f>
        <v>005332010</v>
      </c>
      <c r="F1992" s="10">
        <v>40108</v>
      </c>
      <c r="G1992" s="11">
        <v>30000</v>
      </c>
      <c r="H1992" s="11">
        <v>30000</v>
      </c>
      <c r="I1992" s="4" t="s">
        <v>687</v>
      </c>
      <c r="J1992" s="4" t="s">
        <v>688</v>
      </c>
      <c r="K1992" s="11">
        <v>0</v>
      </c>
      <c r="L1992" s="4"/>
      <c r="M1992" s="4"/>
      <c r="N1992" s="11">
        <v>0</v>
      </c>
      <c r="O1992" s="4"/>
      <c r="P1992" s="4"/>
      <c r="Q1992" s="11">
        <v>0</v>
      </c>
      <c r="R1992" s="4"/>
      <c r="S1992" s="12"/>
    </row>
    <row r="1993" spans="1:19" x14ac:dyDescent="0.25">
      <c r="A1993" s="9" t="s">
        <v>571</v>
      </c>
      <c r="B1993" s="9" t="s">
        <v>571</v>
      </c>
      <c r="C1993" s="4">
        <v>201000298</v>
      </c>
      <c r="D1993" s="4" t="s">
        <v>2158</v>
      </c>
      <c r="E1993" s="4" t="str">
        <f>"005452010"</f>
        <v>005452010</v>
      </c>
      <c r="F1993" s="10">
        <v>40108</v>
      </c>
      <c r="G1993" s="11">
        <v>100000</v>
      </c>
      <c r="H1993" s="11">
        <v>100000</v>
      </c>
      <c r="I1993" s="4" t="s">
        <v>687</v>
      </c>
      <c r="J1993" s="4" t="s">
        <v>688</v>
      </c>
      <c r="K1993" s="11">
        <v>0</v>
      </c>
      <c r="L1993" s="4"/>
      <c r="M1993" s="4"/>
      <c r="N1993" s="11">
        <v>0</v>
      </c>
      <c r="O1993" s="4"/>
      <c r="P1993" s="4"/>
      <c r="Q1993" s="11">
        <v>0</v>
      </c>
      <c r="R1993" s="4"/>
      <c r="S1993" s="12"/>
    </row>
    <row r="1994" spans="1:19" x14ac:dyDescent="0.25">
      <c r="A1994" s="9" t="s">
        <v>571</v>
      </c>
      <c r="B1994" s="9" t="s">
        <v>571</v>
      </c>
      <c r="C1994" s="4">
        <v>201000299</v>
      </c>
      <c r="D1994" s="4" t="s">
        <v>2159</v>
      </c>
      <c r="E1994" s="4" t="str">
        <f>"005552010"</f>
        <v>005552010</v>
      </c>
      <c r="F1994" s="10">
        <v>40109</v>
      </c>
      <c r="G1994" s="11">
        <v>100000</v>
      </c>
      <c r="H1994" s="11">
        <v>100000</v>
      </c>
      <c r="I1994" s="4" t="s">
        <v>687</v>
      </c>
      <c r="J1994" s="4" t="s">
        <v>688</v>
      </c>
      <c r="K1994" s="11">
        <v>0</v>
      </c>
      <c r="L1994" s="4"/>
      <c r="M1994" s="4"/>
      <c r="N1994" s="11">
        <v>0</v>
      </c>
      <c r="O1994" s="4"/>
      <c r="P1994" s="4"/>
      <c r="Q1994" s="11">
        <v>0</v>
      </c>
      <c r="R1994" s="4"/>
      <c r="S1994" s="12"/>
    </row>
    <row r="1995" spans="1:19" x14ac:dyDescent="0.25">
      <c r="A1995" s="9" t="s">
        <v>571</v>
      </c>
      <c r="B1995" s="9" t="s">
        <v>571</v>
      </c>
      <c r="C1995" s="4">
        <v>201000303</v>
      </c>
      <c r="D1995" s="4"/>
      <c r="E1995" s="4" t="str">
        <f>"005812010"</f>
        <v>005812010</v>
      </c>
      <c r="F1995" s="10">
        <v>40109</v>
      </c>
      <c r="G1995" s="11">
        <v>45000</v>
      </c>
      <c r="H1995" s="11">
        <v>45000</v>
      </c>
      <c r="I1995" s="4" t="s">
        <v>687</v>
      </c>
      <c r="J1995" s="4" t="s">
        <v>688</v>
      </c>
      <c r="K1995" s="11">
        <v>0</v>
      </c>
      <c r="L1995" s="4"/>
      <c r="M1995" s="4"/>
      <c r="N1995" s="11">
        <v>0</v>
      </c>
      <c r="O1995" s="4"/>
      <c r="P1995" s="4"/>
      <c r="Q1995" s="11">
        <v>0</v>
      </c>
      <c r="R1995" s="4"/>
      <c r="S1995" s="12"/>
    </row>
    <row r="1996" spans="1:19" x14ac:dyDescent="0.25">
      <c r="A1996" s="9" t="s">
        <v>571</v>
      </c>
      <c r="B1996" s="9" t="s">
        <v>571</v>
      </c>
      <c r="C1996" s="4">
        <v>201000309</v>
      </c>
      <c r="D1996" s="4" t="s">
        <v>2160</v>
      </c>
      <c r="E1996" s="4" t="str">
        <f>"005792010"</f>
        <v>005792010</v>
      </c>
      <c r="F1996" s="10">
        <v>40109</v>
      </c>
      <c r="G1996" s="11">
        <v>50000</v>
      </c>
      <c r="H1996" s="11">
        <v>50000</v>
      </c>
      <c r="I1996" s="4" t="s">
        <v>687</v>
      </c>
      <c r="J1996" s="4" t="s">
        <v>688</v>
      </c>
      <c r="K1996" s="11">
        <v>0</v>
      </c>
      <c r="L1996" s="4"/>
      <c r="M1996" s="4"/>
      <c r="N1996" s="11">
        <v>0</v>
      </c>
      <c r="O1996" s="4"/>
      <c r="P1996" s="4"/>
      <c r="Q1996" s="11">
        <v>0</v>
      </c>
      <c r="R1996" s="4"/>
      <c r="S1996" s="12"/>
    </row>
    <row r="1997" spans="1:19" x14ac:dyDescent="0.25">
      <c r="A1997" s="9" t="s">
        <v>571</v>
      </c>
      <c r="B1997" s="9" t="s">
        <v>571</v>
      </c>
      <c r="C1997" s="4">
        <v>201000334</v>
      </c>
      <c r="D1997" s="4" t="s">
        <v>2161</v>
      </c>
      <c r="E1997" s="4" t="str">
        <f>"006432010"</f>
        <v>006432010</v>
      </c>
      <c r="F1997" s="10">
        <v>40112</v>
      </c>
      <c r="G1997" s="11">
        <v>48000</v>
      </c>
      <c r="H1997" s="11">
        <v>48000</v>
      </c>
      <c r="I1997" s="4" t="s">
        <v>366</v>
      </c>
      <c r="J1997" s="4" t="s">
        <v>367</v>
      </c>
      <c r="K1997" s="11">
        <v>0</v>
      </c>
      <c r="L1997" s="4"/>
      <c r="M1997" s="4"/>
      <c r="N1997" s="11">
        <v>0</v>
      </c>
      <c r="O1997" s="4"/>
      <c r="P1997" s="4"/>
      <c r="Q1997" s="11">
        <v>0</v>
      </c>
      <c r="R1997" s="4"/>
      <c r="S1997" s="12"/>
    </row>
    <row r="1998" spans="1:19" x14ac:dyDescent="0.25">
      <c r="A1998" s="9" t="s">
        <v>571</v>
      </c>
      <c r="B1998" s="9" t="s">
        <v>571</v>
      </c>
      <c r="C1998" s="4">
        <v>201000356</v>
      </c>
      <c r="D1998" s="4" t="s">
        <v>2162</v>
      </c>
      <c r="E1998" s="4" t="str">
        <f>"006852010"</f>
        <v>006852010</v>
      </c>
      <c r="F1998" s="10">
        <v>40115</v>
      </c>
      <c r="G1998" s="11">
        <v>125000</v>
      </c>
      <c r="H1998" s="11">
        <v>125000</v>
      </c>
      <c r="I1998" s="4" t="s">
        <v>687</v>
      </c>
      <c r="J1998" s="4" t="s">
        <v>688</v>
      </c>
      <c r="K1998" s="11">
        <v>0</v>
      </c>
      <c r="L1998" s="4"/>
      <c r="M1998" s="4"/>
      <c r="N1998" s="11">
        <v>0</v>
      </c>
      <c r="O1998" s="4"/>
      <c r="P1998" s="4"/>
      <c r="Q1998" s="11">
        <v>0</v>
      </c>
      <c r="R1998" s="4"/>
      <c r="S1998" s="12"/>
    </row>
    <row r="1999" spans="1:19" x14ac:dyDescent="0.25">
      <c r="A1999" s="9" t="s">
        <v>571</v>
      </c>
      <c r="B1999" s="9" t="s">
        <v>571</v>
      </c>
      <c r="C1999" s="4">
        <v>201000358</v>
      </c>
      <c r="D1999" s="4"/>
      <c r="E1999" s="4" t="str">
        <f>"006712010"</f>
        <v>006712010</v>
      </c>
      <c r="F1999" s="10">
        <v>40115</v>
      </c>
      <c r="G1999" s="11">
        <v>4000</v>
      </c>
      <c r="H1999" s="11">
        <v>4000</v>
      </c>
      <c r="I1999" s="4" t="s">
        <v>687</v>
      </c>
      <c r="J1999" s="4" t="s">
        <v>688</v>
      </c>
      <c r="K1999" s="11">
        <v>0</v>
      </c>
      <c r="L1999" s="4"/>
      <c r="M1999" s="4"/>
      <c r="N1999" s="11">
        <v>0</v>
      </c>
      <c r="O1999" s="4"/>
      <c r="P1999" s="4"/>
      <c r="Q1999" s="11">
        <v>0</v>
      </c>
      <c r="R1999" s="4"/>
      <c r="S1999" s="12"/>
    </row>
    <row r="2000" spans="1:19" x14ac:dyDescent="0.25">
      <c r="A2000" s="9" t="s">
        <v>571</v>
      </c>
      <c r="B2000" s="9" t="s">
        <v>571</v>
      </c>
      <c r="C2000" s="4">
        <v>201000361</v>
      </c>
      <c r="D2000" s="4" t="s">
        <v>2163</v>
      </c>
      <c r="E2000" s="4" t="str">
        <f>"006832010"</f>
        <v>006832010</v>
      </c>
      <c r="F2000" s="10">
        <v>40115</v>
      </c>
      <c r="G2000" s="11">
        <v>11000</v>
      </c>
      <c r="H2000" s="11">
        <v>11000</v>
      </c>
      <c r="I2000" s="4" t="s">
        <v>366</v>
      </c>
      <c r="J2000" s="4" t="s">
        <v>367</v>
      </c>
      <c r="K2000" s="11">
        <v>0</v>
      </c>
      <c r="L2000" s="4"/>
      <c r="M2000" s="4"/>
      <c r="N2000" s="11">
        <v>0</v>
      </c>
      <c r="O2000" s="4"/>
      <c r="P2000" s="4"/>
      <c r="Q2000" s="11">
        <v>0</v>
      </c>
      <c r="R2000" s="4"/>
      <c r="S2000" s="12"/>
    </row>
    <row r="2001" spans="1:19" x14ac:dyDescent="0.25">
      <c r="A2001" s="9" t="s">
        <v>571</v>
      </c>
      <c r="B2001" s="9" t="s">
        <v>571</v>
      </c>
      <c r="C2001" s="4">
        <v>201000363</v>
      </c>
      <c r="D2001" s="4"/>
      <c r="E2001" s="4" t="str">
        <f>"006812010"</f>
        <v>006812010</v>
      </c>
      <c r="F2001" s="10">
        <v>40115</v>
      </c>
      <c r="G2001" s="11">
        <v>10000</v>
      </c>
      <c r="H2001" s="11">
        <v>10000</v>
      </c>
      <c r="I2001" s="4" t="s">
        <v>366</v>
      </c>
      <c r="J2001" s="4" t="s">
        <v>367</v>
      </c>
      <c r="K2001" s="11">
        <v>0</v>
      </c>
      <c r="L2001" s="4"/>
      <c r="M2001" s="4"/>
      <c r="N2001" s="11">
        <v>0</v>
      </c>
      <c r="O2001" s="4"/>
      <c r="P2001" s="4"/>
      <c r="Q2001" s="11">
        <v>0</v>
      </c>
      <c r="R2001" s="4"/>
      <c r="S2001" s="12"/>
    </row>
    <row r="2002" spans="1:19" x14ac:dyDescent="0.25">
      <c r="A2002" s="9" t="s">
        <v>571</v>
      </c>
      <c r="B2002" s="9" t="s">
        <v>571</v>
      </c>
      <c r="C2002" s="4">
        <v>201000364</v>
      </c>
      <c r="D2002" s="4" t="s">
        <v>2164</v>
      </c>
      <c r="E2002" s="4" t="str">
        <f>"018242010"</f>
        <v>018242010</v>
      </c>
      <c r="F2002" s="10">
        <v>40151</v>
      </c>
      <c r="G2002" s="11">
        <v>260000</v>
      </c>
      <c r="H2002" s="11">
        <v>260000</v>
      </c>
      <c r="I2002" s="4" t="s">
        <v>687</v>
      </c>
      <c r="J2002" s="4" t="s">
        <v>688</v>
      </c>
      <c r="K2002" s="11">
        <v>0</v>
      </c>
      <c r="L2002" s="4"/>
      <c r="M2002" s="4"/>
      <c r="N2002" s="11">
        <v>0</v>
      </c>
      <c r="O2002" s="4"/>
      <c r="P2002" s="4"/>
      <c r="Q2002" s="11">
        <v>0</v>
      </c>
      <c r="R2002" s="4"/>
      <c r="S2002" s="12"/>
    </row>
    <row r="2003" spans="1:19" x14ac:dyDescent="0.25">
      <c r="A2003" s="9" t="s">
        <v>571</v>
      </c>
      <c r="B2003" s="9" t="s">
        <v>571</v>
      </c>
      <c r="C2003" s="4">
        <v>201000380</v>
      </c>
      <c r="D2003" s="4"/>
      <c r="E2003" s="4" t="str">
        <f>"007112010"</f>
        <v>007112010</v>
      </c>
      <c r="F2003" s="10">
        <v>40115</v>
      </c>
      <c r="G2003" s="11">
        <v>2503.63</v>
      </c>
      <c r="H2003" s="11">
        <v>2503.63</v>
      </c>
      <c r="I2003" s="4" t="s">
        <v>366</v>
      </c>
      <c r="J2003" s="4" t="s">
        <v>367</v>
      </c>
      <c r="K2003" s="11">
        <v>0</v>
      </c>
      <c r="L2003" s="4"/>
      <c r="M2003" s="4"/>
      <c r="N2003" s="11">
        <v>0</v>
      </c>
      <c r="O2003" s="4"/>
      <c r="P2003" s="4"/>
      <c r="Q2003" s="11">
        <v>0</v>
      </c>
      <c r="R2003" s="4"/>
      <c r="S2003" s="12"/>
    </row>
    <row r="2004" spans="1:19" x14ac:dyDescent="0.25">
      <c r="A2004" s="9" t="s">
        <v>571</v>
      </c>
      <c r="B2004" s="9" t="s">
        <v>571</v>
      </c>
      <c r="C2004" s="4">
        <v>201000393</v>
      </c>
      <c r="D2004" s="4" t="s">
        <v>2165</v>
      </c>
      <c r="E2004" s="4" t="str">
        <f>"007372010"</f>
        <v>007372010</v>
      </c>
      <c r="F2004" s="10">
        <v>40115</v>
      </c>
      <c r="G2004" s="11">
        <v>99000</v>
      </c>
      <c r="H2004" s="11">
        <v>99000</v>
      </c>
      <c r="I2004" s="4" t="s">
        <v>687</v>
      </c>
      <c r="J2004" s="4" t="s">
        <v>688</v>
      </c>
      <c r="K2004" s="11">
        <v>0</v>
      </c>
      <c r="L2004" s="4"/>
      <c r="M2004" s="4"/>
      <c r="N2004" s="11">
        <v>0</v>
      </c>
      <c r="O2004" s="4"/>
      <c r="P2004" s="4"/>
      <c r="Q2004" s="11">
        <v>0</v>
      </c>
      <c r="R2004" s="4"/>
      <c r="S2004" s="12"/>
    </row>
    <row r="2005" spans="1:19" x14ac:dyDescent="0.25">
      <c r="A2005" s="9" t="s">
        <v>571</v>
      </c>
      <c r="B2005" s="9" t="s">
        <v>571</v>
      </c>
      <c r="C2005" s="4">
        <v>201000396</v>
      </c>
      <c r="D2005" s="4"/>
      <c r="E2005" s="4" t="str">
        <f>"007332010"</f>
        <v>007332010</v>
      </c>
      <c r="F2005" s="10">
        <v>40115</v>
      </c>
      <c r="G2005" s="11">
        <v>38318.61</v>
      </c>
      <c r="H2005" s="11">
        <v>38318.61</v>
      </c>
      <c r="I2005" s="4" t="s">
        <v>687</v>
      </c>
      <c r="J2005" s="4" t="s">
        <v>688</v>
      </c>
      <c r="K2005" s="11">
        <v>0</v>
      </c>
      <c r="L2005" s="4"/>
      <c r="M2005" s="4"/>
      <c r="N2005" s="11">
        <v>0</v>
      </c>
      <c r="O2005" s="4"/>
      <c r="P2005" s="4"/>
      <c r="Q2005" s="11">
        <v>0</v>
      </c>
      <c r="R2005" s="4"/>
      <c r="S2005" s="12"/>
    </row>
    <row r="2006" spans="1:19" x14ac:dyDescent="0.25">
      <c r="A2006" s="9" t="s">
        <v>571</v>
      </c>
      <c r="B2006" s="9" t="s">
        <v>571</v>
      </c>
      <c r="C2006" s="4">
        <v>201000431</v>
      </c>
      <c r="D2006" s="4"/>
      <c r="E2006" s="4" t="str">
        <f>"007952010"</f>
        <v>007952010</v>
      </c>
      <c r="F2006" s="10">
        <v>40120</v>
      </c>
      <c r="G2006" s="11">
        <v>9163.06</v>
      </c>
      <c r="H2006" s="11">
        <v>9163.06</v>
      </c>
      <c r="I2006" s="4" t="s">
        <v>366</v>
      </c>
      <c r="J2006" s="4" t="s">
        <v>367</v>
      </c>
      <c r="K2006" s="11">
        <v>0</v>
      </c>
      <c r="L2006" s="4"/>
      <c r="M2006" s="4"/>
      <c r="N2006" s="11">
        <v>0</v>
      </c>
      <c r="O2006" s="4"/>
      <c r="P2006" s="4"/>
      <c r="Q2006" s="11">
        <v>0</v>
      </c>
      <c r="R2006" s="4"/>
      <c r="S2006" s="12"/>
    </row>
    <row r="2007" spans="1:19" x14ac:dyDescent="0.25">
      <c r="A2007" s="9" t="s">
        <v>571</v>
      </c>
      <c r="B2007" s="9" t="s">
        <v>571</v>
      </c>
      <c r="C2007" s="4">
        <v>201000455</v>
      </c>
      <c r="D2007" s="4"/>
      <c r="E2007" s="4" t="str">
        <f>"008332010"</f>
        <v>008332010</v>
      </c>
      <c r="F2007" s="10">
        <v>40119</v>
      </c>
      <c r="G2007" s="11">
        <v>2800</v>
      </c>
      <c r="H2007" s="11">
        <v>2800</v>
      </c>
      <c r="I2007" s="4" t="s">
        <v>54</v>
      </c>
      <c r="J2007" s="4" t="s">
        <v>55</v>
      </c>
      <c r="K2007" s="11">
        <v>0</v>
      </c>
      <c r="L2007" s="4"/>
      <c r="M2007" s="4"/>
      <c r="N2007" s="11">
        <v>0</v>
      </c>
      <c r="O2007" s="4"/>
      <c r="P2007" s="4"/>
      <c r="Q2007" s="11">
        <v>0</v>
      </c>
      <c r="R2007" s="4"/>
      <c r="S2007" s="12"/>
    </row>
    <row r="2008" spans="1:19" x14ac:dyDescent="0.25">
      <c r="A2008" s="9" t="s">
        <v>571</v>
      </c>
      <c r="B2008" s="9" t="s">
        <v>571</v>
      </c>
      <c r="C2008" s="4">
        <v>201000469</v>
      </c>
      <c r="D2008" s="4"/>
      <c r="E2008" s="4" t="str">
        <f>"008652010"</f>
        <v>008652010</v>
      </c>
      <c r="F2008" s="10">
        <v>40120</v>
      </c>
      <c r="G2008" s="11">
        <v>90000</v>
      </c>
      <c r="H2008" s="11">
        <v>90000</v>
      </c>
      <c r="I2008" s="4" t="s">
        <v>687</v>
      </c>
      <c r="J2008" s="4" t="s">
        <v>688</v>
      </c>
      <c r="K2008" s="11">
        <v>0</v>
      </c>
      <c r="L2008" s="4"/>
      <c r="M2008" s="4"/>
      <c r="N2008" s="11">
        <v>0</v>
      </c>
      <c r="O2008" s="4"/>
      <c r="P2008" s="4"/>
      <c r="Q2008" s="11">
        <v>0</v>
      </c>
      <c r="R2008" s="4"/>
      <c r="S2008" s="12"/>
    </row>
    <row r="2009" spans="1:19" x14ac:dyDescent="0.25">
      <c r="A2009" s="9" t="s">
        <v>571</v>
      </c>
      <c r="B2009" s="9" t="s">
        <v>571</v>
      </c>
      <c r="C2009" s="4">
        <v>201000509</v>
      </c>
      <c r="D2009" s="4"/>
      <c r="E2009" s="4" t="str">
        <f>"011512010"</f>
        <v>011512010</v>
      </c>
      <c r="F2009" s="10">
        <v>40133</v>
      </c>
      <c r="G2009" s="11">
        <v>2600</v>
      </c>
      <c r="H2009" s="11">
        <v>2600</v>
      </c>
      <c r="I2009" s="4" t="s">
        <v>366</v>
      </c>
      <c r="J2009" s="4" t="s">
        <v>367</v>
      </c>
      <c r="K2009" s="11">
        <v>0</v>
      </c>
      <c r="L2009" s="4"/>
      <c r="M2009" s="4"/>
      <c r="N2009" s="11">
        <v>0</v>
      </c>
      <c r="O2009" s="4"/>
      <c r="P2009" s="4"/>
      <c r="Q2009" s="11">
        <v>0</v>
      </c>
      <c r="R2009" s="4"/>
      <c r="S2009" s="12"/>
    </row>
    <row r="2010" spans="1:19" x14ac:dyDescent="0.25">
      <c r="A2010" s="9" t="s">
        <v>571</v>
      </c>
      <c r="B2010" s="9" t="s">
        <v>571</v>
      </c>
      <c r="C2010" s="4">
        <v>201000518</v>
      </c>
      <c r="D2010" s="4"/>
      <c r="E2010" s="4" t="str">
        <f>"009532010"</f>
        <v>009532010</v>
      </c>
      <c r="F2010" s="10">
        <v>40122</v>
      </c>
      <c r="G2010" s="11">
        <v>4800</v>
      </c>
      <c r="H2010" s="11">
        <v>4800</v>
      </c>
      <c r="I2010" s="4" t="s">
        <v>366</v>
      </c>
      <c r="J2010" s="4" t="s">
        <v>367</v>
      </c>
      <c r="K2010" s="11">
        <v>0</v>
      </c>
      <c r="L2010" s="4"/>
      <c r="M2010" s="4"/>
      <c r="N2010" s="11">
        <v>0</v>
      </c>
      <c r="O2010" s="4"/>
      <c r="P2010" s="4"/>
      <c r="Q2010" s="11">
        <v>0</v>
      </c>
      <c r="R2010" s="4"/>
      <c r="S2010" s="12"/>
    </row>
    <row r="2011" spans="1:19" x14ac:dyDescent="0.25">
      <c r="A2011" s="9" t="s">
        <v>571</v>
      </c>
      <c r="B2011" s="9" t="s">
        <v>571</v>
      </c>
      <c r="C2011" s="4">
        <v>201000519</v>
      </c>
      <c r="D2011" s="4"/>
      <c r="E2011" s="4" t="str">
        <f>"009952010"</f>
        <v>009952010</v>
      </c>
      <c r="F2011" s="10">
        <v>40123</v>
      </c>
      <c r="G2011" s="11">
        <v>3000</v>
      </c>
      <c r="H2011" s="11">
        <v>3000</v>
      </c>
      <c r="I2011" s="4" t="s">
        <v>687</v>
      </c>
      <c r="J2011" s="4" t="s">
        <v>688</v>
      </c>
      <c r="K2011" s="11">
        <v>0</v>
      </c>
      <c r="L2011" s="4"/>
      <c r="M2011" s="4"/>
      <c r="N2011" s="11">
        <v>0</v>
      </c>
      <c r="O2011" s="4"/>
      <c r="P2011" s="4"/>
      <c r="Q2011" s="11">
        <v>0</v>
      </c>
      <c r="R2011" s="4"/>
      <c r="S2011" s="12"/>
    </row>
    <row r="2012" spans="1:19" x14ac:dyDescent="0.25">
      <c r="A2012" s="9" t="s">
        <v>571</v>
      </c>
      <c r="B2012" s="9" t="s">
        <v>571</v>
      </c>
      <c r="C2012" s="4">
        <v>201000538</v>
      </c>
      <c r="D2012" s="4"/>
      <c r="E2012" s="4" t="str">
        <f>"009672010"</f>
        <v>009672010</v>
      </c>
      <c r="F2012" s="10">
        <v>40123</v>
      </c>
      <c r="G2012" s="11">
        <v>75000</v>
      </c>
      <c r="H2012" s="11">
        <v>75000</v>
      </c>
      <c r="I2012" s="4" t="s">
        <v>687</v>
      </c>
      <c r="J2012" s="4" t="s">
        <v>688</v>
      </c>
      <c r="K2012" s="11">
        <v>0</v>
      </c>
      <c r="L2012" s="4"/>
      <c r="M2012" s="4"/>
      <c r="N2012" s="11">
        <v>0</v>
      </c>
      <c r="O2012" s="4"/>
      <c r="P2012" s="4"/>
      <c r="Q2012" s="11">
        <v>0</v>
      </c>
      <c r="R2012" s="4"/>
      <c r="S2012" s="12"/>
    </row>
    <row r="2013" spans="1:19" x14ac:dyDescent="0.25">
      <c r="A2013" s="9" t="s">
        <v>571</v>
      </c>
      <c r="B2013" s="9" t="s">
        <v>571</v>
      </c>
      <c r="C2013" s="4">
        <v>201000539</v>
      </c>
      <c r="D2013" s="4" t="s">
        <v>2166</v>
      </c>
      <c r="E2013" s="4" t="str">
        <f>"016492010"</f>
        <v>016492010</v>
      </c>
      <c r="F2013" s="10">
        <v>40149</v>
      </c>
      <c r="G2013" s="11">
        <v>515000</v>
      </c>
      <c r="H2013" s="11">
        <v>515000</v>
      </c>
      <c r="I2013" s="4" t="s">
        <v>687</v>
      </c>
      <c r="J2013" s="4" t="s">
        <v>688</v>
      </c>
      <c r="K2013" s="11">
        <v>0</v>
      </c>
      <c r="L2013" s="4"/>
      <c r="M2013" s="4"/>
      <c r="N2013" s="11">
        <v>0</v>
      </c>
      <c r="O2013" s="4"/>
      <c r="P2013" s="4"/>
      <c r="Q2013" s="11">
        <v>0</v>
      </c>
      <c r="R2013" s="4"/>
      <c r="S2013" s="12"/>
    </row>
    <row r="2014" spans="1:19" x14ac:dyDescent="0.25">
      <c r="A2014" s="9" t="s">
        <v>571</v>
      </c>
      <c r="B2014" s="9" t="s">
        <v>571</v>
      </c>
      <c r="C2014" s="4">
        <v>201000539</v>
      </c>
      <c r="D2014" s="4" t="s">
        <v>2166</v>
      </c>
      <c r="E2014" s="4" t="str">
        <f>"016512010"</f>
        <v>016512010</v>
      </c>
      <c r="F2014" s="10">
        <v>40148</v>
      </c>
      <c r="G2014" s="11">
        <v>121000</v>
      </c>
      <c r="H2014" s="11">
        <v>121000</v>
      </c>
      <c r="I2014" s="4" t="s">
        <v>687</v>
      </c>
      <c r="J2014" s="4" t="s">
        <v>688</v>
      </c>
      <c r="K2014" s="11">
        <v>0</v>
      </c>
      <c r="L2014" s="4"/>
      <c r="M2014" s="4"/>
      <c r="N2014" s="11">
        <v>0</v>
      </c>
      <c r="O2014" s="4"/>
      <c r="P2014" s="4"/>
      <c r="Q2014" s="11">
        <v>0</v>
      </c>
      <c r="R2014" s="4"/>
      <c r="S2014" s="12"/>
    </row>
    <row r="2015" spans="1:19" x14ac:dyDescent="0.25">
      <c r="A2015" s="9" t="s">
        <v>571</v>
      </c>
      <c r="B2015" s="9" t="s">
        <v>571</v>
      </c>
      <c r="C2015" s="4">
        <v>201000554</v>
      </c>
      <c r="D2015" s="4"/>
      <c r="E2015" s="4" t="str">
        <f>"011492010"</f>
        <v>011492010</v>
      </c>
      <c r="F2015" s="10">
        <v>40133</v>
      </c>
      <c r="G2015" s="11">
        <v>27500</v>
      </c>
      <c r="H2015" s="11">
        <v>27500</v>
      </c>
      <c r="I2015" s="4" t="s">
        <v>366</v>
      </c>
      <c r="J2015" s="4" t="s">
        <v>367</v>
      </c>
      <c r="K2015" s="11">
        <v>0</v>
      </c>
      <c r="L2015" s="4"/>
      <c r="M2015" s="4"/>
      <c r="N2015" s="11">
        <v>0</v>
      </c>
      <c r="O2015" s="4"/>
      <c r="P2015" s="4"/>
      <c r="Q2015" s="11">
        <v>0</v>
      </c>
      <c r="R2015" s="4"/>
      <c r="S2015" s="12"/>
    </row>
    <row r="2016" spans="1:19" x14ac:dyDescent="0.25">
      <c r="A2016" s="9" t="s">
        <v>571</v>
      </c>
      <c r="B2016" s="9" t="s">
        <v>571</v>
      </c>
      <c r="C2016" s="4">
        <v>201000555</v>
      </c>
      <c r="D2016" s="4"/>
      <c r="E2016" s="4" t="str">
        <f>"011052010"</f>
        <v>011052010</v>
      </c>
      <c r="F2016" s="10">
        <v>40129</v>
      </c>
      <c r="G2016" s="11">
        <v>25000</v>
      </c>
      <c r="H2016" s="11">
        <v>25000</v>
      </c>
      <c r="I2016" s="4" t="s">
        <v>687</v>
      </c>
      <c r="J2016" s="4" t="s">
        <v>688</v>
      </c>
      <c r="K2016" s="11">
        <v>0</v>
      </c>
      <c r="L2016" s="4"/>
      <c r="M2016" s="4"/>
      <c r="N2016" s="11">
        <v>0</v>
      </c>
      <c r="O2016" s="4"/>
      <c r="P2016" s="4"/>
      <c r="Q2016" s="11">
        <v>0</v>
      </c>
      <c r="R2016" s="4"/>
      <c r="S2016" s="12"/>
    </row>
    <row r="2017" spans="1:19" x14ac:dyDescent="0.25">
      <c r="A2017" s="9" t="s">
        <v>571</v>
      </c>
      <c r="B2017" s="9" t="s">
        <v>571</v>
      </c>
      <c r="C2017" s="4">
        <v>201000559</v>
      </c>
      <c r="D2017" s="4"/>
      <c r="E2017" s="4" t="str">
        <f>"014612010"</f>
        <v>014612010</v>
      </c>
      <c r="F2017" s="10">
        <v>40141</v>
      </c>
      <c r="G2017" s="11">
        <v>4270.3500000000004</v>
      </c>
      <c r="H2017" s="11">
        <v>4270.3500000000004</v>
      </c>
      <c r="I2017" s="4" t="s">
        <v>366</v>
      </c>
      <c r="J2017" s="4" t="s">
        <v>367</v>
      </c>
      <c r="K2017" s="11">
        <v>0</v>
      </c>
      <c r="L2017" s="4"/>
      <c r="M2017" s="4"/>
      <c r="N2017" s="11">
        <v>0</v>
      </c>
      <c r="O2017" s="4"/>
      <c r="P2017" s="4"/>
      <c r="Q2017" s="11">
        <v>0</v>
      </c>
      <c r="R2017" s="4"/>
      <c r="S2017" s="12"/>
    </row>
    <row r="2018" spans="1:19" x14ac:dyDescent="0.25">
      <c r="A2018" s="9" t="s">
        <v>571</v>
      </c>
      <c r="B2018" s="9" t="s">
        <v>571</v>
      </c>
      <c r="C2018" s="4">
        <v>201000610</v>
      </c>
      <c r="D2018" s="4"/>
      <c r="E2018" s="4" t="str">
        <f>"011532010"</f>
        <v>011532010</v>
      </c>
      <c r="F2018" s="10">
        <v>40133</v>
      </c>
      <c r="G2018" s="11">
        <v>12625.55</v>
      </c>
      <c r="H2018" s="11">
        <v>12625.55</v>
      </c>
      <c r="I2018" s="4" t="s">
        <v>366</v>
      </c>
      <c r="J2018" s="4" t="s">
        <v>367</v>
      </c>
      <c r="K2018" s="11">
        <v>0</v>
      </c>
      <c r="L2018" s="4"/>
      <c r="M2018" s="4"/>
      <c r="N2018" s="11">
        <v>0</v>
      </c>
      <c r="O2018" s="4"/>
      <c r="P2018" s="4"/>
      <c r="Q2018" s="11">
        <v>0</v>
      </c>
      <c r="R2018" s="4"/>
      <c r="S2018" s="12"/>
    </row>
    <row r="2019" spans="1:19" x14ac:dyDescent="0.25">
      <c r="A2019" s="9" t="s">
        <v>571</v>
      </c>
      <c r="B2019" s="9" t="s">
        <v>571</v>
      </c>
      <c r="C2019" s="4">
        <v>201000614</v>
      </c>
      <c r="D2019" s="4"/>
      <c r="E2019" s="4" t="str">
        <f>"011352010"</f>
        <v>011352010</v>
      </c>
      <c r="F2019" s="10">
        <v>40129</v>
      </c>
      <c r="G2019" s="11">
        <v>2622.78</v>
      </c>
      <c r="H2019" s="11">
        <v>2622.78</v>
      </c>
      <c r="I2019" s="4" t="s">
        <v>366</v>
      </c>
      <c r="J2019" s="4" t="s">
        <v>367</v>
      </c>
      <c r="K2019" s="11">
        <v>0</v>
      </c>
      <c r="L2019" s="4"/>
      <c r="M2019" s="4"/>
      <c r="N2019" s="11">
        <v>0</v>
      </c>
      <c r="O2019" s="4"/>
      <c r="P2019" s="4"/>
      <c r="Q2019" s="11">
        <v>0</v>
      </c>
      <c r="R2019" s="4"/>
      <c r="S2019" s="12"/>
    </row>
    <row r="2020" spans="1:19" x14ac:dyDescent="0.25">
      <c r="A2020" s="9" t="s">
        <v>571</v>
      </c>
      <c r="B2020" s="9" t="s">
        <v>571</v>
      </c>
      <c r="C2020" s="4">
        <v>201000615</v>
      </c>
      <c r="D2020" s="4" t="s">
        <v>2167</v>
      </c>
      <c r="E2020" s="4" t="str">
        <f>"011552010"</f>
        <v>011552010</v>
      </c>
      <c r="F2020" s="10">
        <v>40133</v>
      </c>
      <c r="G2020" s="11">
        <v>50000</v>
      </c>
      <c r="H2020" s="11">
        <v>50000</v>
      </c>
      <c r="I2020" s="4" t="s">
        <v>687</v>
      </c>
      <c r="J2020" s="4" t="s">
        <v>688</v>
      </c>
      <c r="K2020" s="11">
        <v>0</v>
      </c>
      <c r="L2020" s="4"/>
      <c r="M2020" s="4"/>
      <c r="N2020" s="11">
        <v>0</v>
      </c>
      <c r="O2020" s="4"/>
      <c r="P2020" s="4"/>
      <c r="Q2020" s="11">
        <v>0</v>
      </c>
      <c r="R2020" s="4"/>
      <c r="S2020" s="12"/>
    </row>
    <row r="2021" spans="1:19" x14ac:dyDescent="0.25">
      <c r="A2021" s="9" t="s">
        <v>571</v>
      </c>
      <c r="B2021" s="9" t="s">
        <v>571</v>
      </c>
      <c r="C2021" s="4">
        <v>201000617</v>
      </c>
      <c r="D2021" s="4"/>
      <c r="E2021" s="4" t="str">
        <f>"014622010"</f>
        <v>014622010</v>
      </c>
      <c r="F2021" s="10">
        <v>40141</v>
      </c>
      <c r="G2021" s="11">
        <v>10000</v>
      </c>
      <c r="H2021" s="11">
        <v>10000</v>
      </c>
      <c r="I2021" s="4" t="s">
        <v>931</v>
      </c>
      <c r="J2021" s="4" t="s">
        <v>932</v>
      </c>
      <c r="K2021" s="11">
        <v>0</v>
      </c>
      <c r="L2021" s="4"/>
      <c r="M2021" s="4"/>
      <c r="N2021" s="11">
        <v>0</v>
      </c>
      <c r="O2021" s="4"/>
      <c r="P2021" s="4"/>
      <c r="Q2021" s="11">
        <v>0</v>
      </c>
      <c r="R2021" s="4"/>
      <c r="S2021" s="12"/>
    </row>
    <row r="2022" spans="1:19" x14ac:dyDescent="0.25">
      <c r="A2022" s="9" t="s">
        <v>571</v>
      </c>
      <c r="B2022" s="9" t="s">
        <v>571</v>
      </c>
      <c r="C2022" s="4">
        <v>201000652</v>
      </c>
      <c r="D2022" s="4"/>
      <c r="E2022" s="4" t="str">
        <f>"012212010"</f>
        <v>012212010</v>
      </c>
      <c r="F2022" s="10">
        <v>40133</v>
      </c>
      <c r="G2022" s="11">
        <v>100000</v>
      </c>
      <c r="H2022" s="11">
        <v>100000</v>
      </c>
      <c r="I2022" s="4" t="s">
        <v>931</v>
      </c>
      <c r="J2022" s="4" t="s">
        <v>932</v>
      </c>
      <c r="K2022" s="11">
        <v>0</v>
      </c>
      <c r="L2022" s="4"/>
      <c r="M2022" s="4"/>
      <c r="N2022" s="11">
        <v>0</v>
      </c>
      <c r="O2022" s="4"/>
      <c r="P2022" s="4"/>
      <c r="Q2022" s="11">
        <v>0</v>
      </c>
      <c r="R2022" s="4"/>
      <c r="S2022" s="12"/>
    </row>
    <row r="2023" spans="1:19" x14ac:dyDescent="0.25">
      <c r="A2023" s="9" t="s">
        <v>571</v>
      </c>
      <c r="B2023" s="9" t="s">
        <v>571</v>
      </c>
      <c r="C2023" s="4">
        <v>201000674</v>
      </c>
      <c r="D2023" s="4" t="s">
        <v>2168</v>
      </c>
      <c r="E2023" s="4" t="str">
        <f>"019542010"</f>
        <v>019542010</v>
      </c>
      <c r="F2023" s="10">
        <v>40156</v>
      </c>
      <c r="G2023" s="11">
        <v>250000</v>
      </c>
      <c r="H2023" s="11">
        <v>250000</v>
      </c>
      <c r="I2023" s="4" t="s">
        <v>687</v>
      </c>
      <c r="J2023" s="4" t="s">
        <v>688</v>
      </c>
      <c r="K2023" s="11">
        <v>0</v>
      </c>
      <c r="L2023" s="4"/>
      <c r="M2023" s="4"/>
      <c r="N2023" s="11">
        <v>0</v>
      </c>
      <c r="O2023" s="4"/>
      <c r="P2023" s="4"/>
      <c r="Q2023" s="11">
        <v>0</v>
      </c>
      <c r="R2023" s="4"/>
      <c r="S2023" s="12"/>
    </row>
    <row r="2024" spans="1:19" x14ac:dyDescent="0.25">
      <c r="A2024" s="9" t="s">
        <v>571</v>
      </c>
      <c r="B2024" s="9" t="s">
        <v>571</v>
      </c>
      <c r="C2024" s="4">
        <v>201000676</v>
      </c>
      <c r="D2024" s="4" t="s">
        <v>2169</v>
      </c>
      <c r="E2024" s="4" t="str">
        <f>"087942010"</f>
        <v>087942010</v>
      </c>
      <c r="F2024" s="10">
        <v>40360</v>
      </c>
      <c r="G2024" s="11">
        <v>3750</v>
      </c>
      <c r="H2024" s="11">
        <v>3750</v>
      </c>
      <c r="I2024" s="4" t="s">
        <v>687</v>
      </c>
      <c r="J2024" s="4" t="s">
        <v>688</v>
      </c>
      <c r="K2024" s="11">
        <v>0</v>
      </c>
      <c r="L2024" s="4"/>
      <c r="M2024" s="4"/>
      <c r="N2024" s="11">
        <v>0</v>
      </c>
      <c r="O2024" s="4"/>
      <c r="P2024" s="4"/>
      <c r="Q2024" s="11">
        <v>0</v>
      </c>
      <c r="R2024" s="4"/>
      <c r="S2024" s="12"/>
    </row>
    <row r="2025" spans="1:19" x14ac:dyDescent="0.25">
      <c r="A2025" s="9" t="s">
        <v>571</v>
      </c>
      <c r="B2025" s="9" t="s">
        <v>571</v>
      </c>
      <c r="C2025" s="4">
        <v>201000682</v>
      </c>
      <c r="D2025" s="4" t="s">
        <v>2154</v>
      </c>
      <c r="E2025" s="4" t="str">
        <f>"014122010"</f>
        <v>014122010</v>
      </c>
      <c r="F2025" s="10">
        <v>40141</v>
      </c>
      <c r="G2025" s="11">
        <v>275000</v>
      </c>
      <c r="H2025" s="11">
        <v>275000</v>
      </c>
      <c r="I2025" s="4" t="s">
        <v>687</v>
      </c>
      <c r="J2025" s="4" t="s">
        <v>688</v>
      </c>
      <c r="K2025" s="11">
        <v>0</v>
      </c>
      <c r="L2025" s="4"/>
      <c r="M2025" s="4"/>
      <c r="N2025" s="11">
        <v>0</v>
      </c>
      <c r="O2025" s="4"/>
      <c r="P2025" s="4"/>
      <c r="Q2025" s="11">
        <v>0</v>
      </c>
      <c r="R2025" s="4"/>
      <c r="S2025" s="12"/>
    </row>
    <row r="2026" spans="1:19" x14ac:dyDescent="0.25">
      <c r="A2026" s="9" t="s">
        <v>571</v>
      </c>
      <c r="B2026" s="9" t="s">
        <v>571</v>
      </c>
      <c r="C2026" s="4">
        <v>201000688</v>
      </c>
      <c r="D2026" s="4" t="s">
        <v>2170</v>
      </c>
      <c r="E2026" s="4" t="str">
        <f>"013922010"</f>
        <v>013922010</v>
      </c>
      <c r="F2026" s="10">
        <v>40141</v>
      </c>
      <c r="G2026" s="11">
        <v>300000</v>
      </c>
      <c r="H2026" s="11">
        <v>300000</v>
      </c>
      <c r="I2026" s="4" t="s">
        <v>687</v>
      </c>
      <c r="J2026" s="4" t="s">
        <v>688</v>
      </c>
      <c r="K2026" s="11">
        <v>0</v>
      </c>
      <c r="L2026" s="4"/>
      <c r="M2026" s="4"/>
      <c r="N2026" s="11">
        <v>0</v>
      </c>
      <c r="O2026" s="4"/>
      <c r="P2026" s="4"/>
      <c r="Q2026" s="11">
        <v>0</v>
      </c>
      <c r="R2026" s="4"/>
      <c r="S2026" s="12"/>
    </row>
    <row r="2027" spans="1:19" x14ac:dyDescent="0.25">
      <c r="A2027" s="9" t="s">
        <v>571</v>
      </c>
      <c r="B2027" s="9" t="s">
        <v>571</v>
      </c>
      <c r="C2027" s="4">
        <v>201000723</v>
      </c>
      <c r="D2027" s="4" t="s">
        <v>2171</v>
      </c>
      <c r="E2027" s="4" t="str">
        <f>"013272010"</f>
        <v>013272010</v>
      </c>
      <c r="F2027" s="10">
        <v>40137</v>
      </c>
      <c r="G2027" s="11">
        <v>10000</v>
      </c>
      <c r="H2027" s="11">
        <v>10000</v>
      </c>
      <c r="I2027" s="4" t="s">
        <v>687</v>
      </c>
      <c r="J2027" s="4" t="s">
        <v>688</v>
      </c>
      <c r="K2027" s="11">
        <v>0</v>
      </c>
      <c r="L2027" s="4"/>
      <c r="M2027" s="4"/>
      <c r="N2027" s="11">
        <v>0</v>
      </c>
      <c r="O2027" s="4"/>
      <c r="P2027" s="4"/>
      <c r="Q2027" s="11">
        <v>0</v>
      </c>
      <c r="R2027" s="4"/>
      <c r="S2027" s="12"/>
    </row>
    <row r="2028" spans="1:19" x14ac:dyDescent="0.25">
      <c r="A2028" s="9" t="s">
        <v>571</v>
      </c>
      <c r="B2028" s="9" t="s">
        <v>571</v>
      </c>
      <c r="C2028" s="4">
        <v>201000727</v>
      </c>
      <c r="D2028" s="4"/>
      <c r="E2028" s="4" t="str">
        <f>"013452010"</f>
        <v>013452010</v>
      </c>
      <c r="F2028" s="10">
        <v>40137</v>
      </c>
      <c r="G2028" s="11">
        <v>4300</v>
      </c>
      <c r="H2028" s="11">
        <v>4300</v>
      </c>
      <c r="I2028" s="4" t="s">
        <v>931</v>
      </c>
      <c r="J2028" s="4" t="s">
        <v>932</v>
      </c>
      <c r="K2028" s="11">
        <v>0</v>
      </c>
      <c r="L2028" s="4"/>
      <c r="M2028" s="4"/>
      <c r="N2028" s="11">
        <v>0</v>
      </c>
      <c r="O2028" s="4"/>
      <c r="P2028" s="4"/>
      <c r="Q2028" s="11">
        <v>0</v>
      </c>
      <c r="R2028" s="4"/>
      <c r="S2028" s="12"/>
    </row>
    <row r="2029" spans="1:19" x14ac:dyDescent="0.25">
      <c r="A2029" s="9" t="s">
        <v>571</v>
      </c>
      <c r="B2029" s="9" t="s">
        <v>571</v>
      </c>
      <c r="C2029" s="4">
        <v>201000729</v>
      </c>
      <c r="D2029" s="4" t="s">
        <v>2172</v>
      </c>
      <c r="E2029" s="4" t="str">
        <f>"019922010"</f>
        <v>019922010</v>
      </c>
      <c r="F2029" s="10">
        <v>40157</v>
      </c>
      <c r="G2029" s="11">
        <v>200000</v>
      </c>
      <c r="H2029" s="11">
        <v>200000</v>
      </c>
      <c r="I2029" s="4" t="s">
        <v>687</v>
      </c>
      <c r="J2029" s="4" t="s">
        <v>688</v>
      </c>
      <c r="K2029" s="11">
        <v>0</v>
      </c>
      <c r="L2029" s="4"/>
      <c r="M2029" s="4"/>
      <c r="N2029" s="11">
        <v>0</v>
      </c>
      <c r="O2029" s="4"/>
      <c r="P2029" s="4"/>
      <c r="Q2029" s="11">
        <v>0</v>
      </c>
      <c r="R2029" s="4"/>
      <c r="S2029" s="12"/>
    </row>
    <row r="2030" spans="1:19" x14ac:dyDescent="0.25">
      <c r="A2030" s="9" t="s">
        <v>571</v>
      </c>
      <c r="B2030" s="9" t="s">
        <v>571</v>
      </c>
      <c r="C2030" s="4">
        <v>201000744</v>
      </c>
      <c r="D2030" s="4"/>
      <c r="E2030" s="4" t="str">
        <f>"015442010"</f>
        <v>015442010</v>
      </c>
      <c r="F2030" s="10">
        <v>40142</v>
      </c>
      <c r="G2030" s="11">
        <v>12500</v>
      </c>
      <c r="H2030" s="11">
        <v>12500</v>
      </c>
      <c r="I2030" s="4" t="s">
        <v>687</v>
      </c>
      <c r="J2030" s="4" t="s">
        <v>688</v>
      </c>
      <c r="K2030" s="11">
        <v>0</v>
      </c>
      <c r="L2030" s="4"/>
      <c r="M2030" s="4"/>
      <c r="N2030" s="11">
        <v>0</v>
      </c>
      <c r="O2030" s="4"/>
      <c r="P2030" s="4"/>
      <c r="Q2030" s="11">
        <v>0</v>
      </c>
      <c r="R2030" s="4"/>
      <c r="S2030" s="12"/>
    </row>
    <row r="2031" spans="1:19" x14ac:dyDescent="0.25">
      <c r="A2031" s="9" t="s">
        <v>571</v>
      </c>
      <c r="B2031" s="9" t="s">
        <v>571</v>
      </c>
      <c r="C2031" s="4">
        <v>201000748</v>
      </c>
      <c r="D2031" s="4"/>
      <c r="E2031" s="4" t="str">
        <f>"015522010"</f>
        <v>015522010</v>
      </c>
      <c r="F2031" s="10">
        <v>40142</v>
      </c>
      <c r="G2031" s="11">
        <v>3893.12</v>
      </c>
      <c r="H2031" s="11">
        <v>3893.12</v>
      </c>
      <c r="I2031" s="4" t="s">
        <v>366</v>
      </c>
      <c r="J2031" s="4" t="s">
        <v>367</v>
      </c>
      <c r="K2031" s="11">
        <v>0</v>
      </c>
      <c r="L2031" s="4"/>
      <c r="M2031" s="4"/>
      <c r="N2031" s="11">
        <v>0</v>
      </c>
      <c r="O2031" s="4"/>
      <c r="P2031" s="4"/>
      <c r="Q2031" s="11">
        <v>0</v>
      </c>
      <c r="R2031" s="4"/>
      <c r="S2031" s="12"/>
    </row>
    <row r="2032" spans="1:19" x14ac:dyDescent="0.25">
      <c r="A2032" s="9" t="s">
        <v>571</v>
      </c>
      <c r="B2032" s="9" t="s">
        <v>571</v>
      </c>
      <c r="C2032" s="4">
        <v>201000781</v>
      </c>
      <c r="D2032" s="4"/>
      <c r="E2032" s="4" t="str">
        <f>"014582010"</f>
        <v>014582010</v>
      </c>
      <c r="F2032" s="10">
        <v>40141</v>
      </c>
      <c r="G2032" s="11">
        <v>13312.75</v>
      </c>
      <c r="H2032" s="11">
        <v>13312.75</v>
      </c>
      <c r="I2032" s="4" t="s">
        <v>54</v>
      </c>
      <c r="J2032" s="4" t="s">
        <v>55</v>
      </c>
      <c r="K2032" s="11">
        <v>0</v>
      </c>
      <c r="L2032" s="4"/>
      <c r="M2032" s="4"/>
      <c r="N2032" s="11">
        <v>0</v>
      </c>
      <c r="O2032" s="4"/>
      <c r="P2032" s="4"/>
      <c r="Q2032" s="11">
        <v>0</v>
      </c>
      <c r="R2032" s="4"/>
      <c r="S2032" s="12"/>
    </row>
    <row r="2033" spans="1:19" x14ac:dyDescent="0.25">
      <c r="A2033" s="9" t="s">
        <v>571</v>
      </c>
      <c r="B2033" s="9" t="s">
        <v>571</v>
      </c>
      <c r="C2033" s="4">
        <v>201000784</v>
      </c>
      <c r="D2033" s="4"/>
      <c r="E2033" s="4" t="str">
        <f>"014562010"</f>
        <v>014562010</v>
      </c>
      <c r="F2033" s="10">
        <v>40141</v>
      </c>
      <c r="G2033" s="11">
        <v>2501.9</v>
      </c>
      <c r="H2033" s="11">
        <v>2501.9</v>
      </c>
      <c r="I2033" s="4" t="s">
        <v>366</v>
      </c>
      <c r="J2033" s="4" t="s">
        <v>367</v>
      </c>
      <c r="K2033" s="11">
        <v>0</v>
      </c>
      <c r="L2033" s="4"/>
      <c r="M2033" s="4"/>
      <c r="N2033" s="11">
        <v>0</v>
      </c>
      <c r="O2033" s="4"/>
      <c r="P2033" s="4"/>
      <c r="Q2033" s="11">
        <v>0</v>
      </c>
      <c r="R2033" s="4"/>
      <c r="S2033" s="12"/>
    </row>
    <row r="2034" spans="1:19" x14ac:dyDescent="0.25">
      <c r="A2034" s="9" t="s">
        <v>571</v>
      </c>
      <c r="B2034" s="9" t="s">
        <v>571</v>
      </c>
      <c r="C2034" s="4">
        <v>201000791</v>
      </c>
      <c r="D2034" s="4" t="s">
        <v>2173</v>
      </c>
      <c r="E2034" s="4" t="str">
        <f>"018572010"</f>
        <v>018572010</v>
      </c>
      <c r="F2034" s="10">
        <v>40154</v>
      </c>
      <c r="G2034" s="11">
        <v>147500</v>
      </c>
      <c r="H2034" s="11">
        <v>147500</v>
      </c>
      <c r="I2034" s="4" t="s">
        <v>687</v>
      </c>
      <c r="J2034" s="4" t="s">
        <v>688</v>
      </c>
      <c r="K2034" s="11">
        <v>0</v>
      </c>
      <c r="L2034" s="4"/>
      <c r="M2034" s="4"/>
      <c r="N2034" s="11">
        <v>0</v>
      </c>
      <c r="O2034" s="4"/>
      <c r="P2034" s="4"/>
      <c r="Q2034" s="11">
        <v>0</v>
      </c>
      <c r="R2034" s="4"/>
      <c r="S2034" s="12"/>
    </row>
    <row r="2035" spans="1:19" x14ac:dyDescent="0.25">
      <c r="A2035" s="9" t="s">
        <v>571</v>
      </c>
      <c r="B2035" s="9" t="s">
        <v>571</v>
      </c>
      <c r="C2035" s="4">
        <v>201000796</v>
      </c>
      <c r="D2035" s="4" t="s">
        <v>2174</v>
      </c>
      <c r="E2035" s="4" t="str">
        <f>"015102010"</f>
        <v>015102010</v>
      </c>
      <c r="F2035" s="10">
        <v>40142</v>
      </c>
      <c r="G2035" s="11">
        <v>75000</v>
      </c>
      <c r="H2035" s="11">
        <v>75000</v>
      </c>
      <c r="I2035" s="4" t="s">
        <v>687</v>
      </c>
      <c r="J2035" s="4" t="s">
        <v>688</v>
      </c>
      <c r="K2035" s="11">
        <v>0</v>
      </c>
      <c r="L2035" s="4"/>
      <c r="M2035" s="4"/>
      <c r="N2035" s="11">
        <v>0</v>
      </c>
      <c r="O2035" s="4"/>
      <c r="P2035" s="4"/>
      <c r="Q2035" s="11">
        <v>0</v>
      </c>
      <c r="R2035" s="4"/>
      <c r="S2035" s="12"/>
    </row>
    <row r="2036" spans="1:19" x14ac:dyDescent="0.25">
      <c r="A2036" s="9" t="s">
        <v>571</v>
      </c>
      <c r="B2036" s="9" t="s">
        <v>571</v>
      </c>
      <c r="C2036" s="4">
        <v>201000797</v>
      </c>
      <c r="D2036" s="4" t="s">
        <v>2175</v>
      </c>
      <c r="E2036" s="4" t="str">
        <f>"015502010"</f>
        <v>015502010</v>
      </c>
      <c r="F2036" s="10">
        <v>40142</v>
      </c>
      <c r="G2036" s="11">
        <v>300000</v>
      </c>
      <c r="H2036" s="11">
        <v>300000</v>
      </c>
      <c r="I2036" s="4" t="s">
        <v>687</v>
      </c>
      <c r="J2036" s="4" t="s">
        <v>688</v>
      </c>
      <c r="K2036" s="11">
        <v>0</v>
      </c>
      <c r="L2036" s="4"/>
      <c r="M2036" s="4"/>
      <c r="N2036" s="11">
        <v>0</v>
      </c>
      <c r="O2036" s="4"/>
      <c r="P2036" s="4"/>
      <c r="Q2036" s="11">
        <v>0</v>
      </c>
      <c r="R2036" s="4"/>
      <c r="S2036" s="12"/>
    </row>
    <row r="2037" spans="1:19" x14ac:dyDescent="0.25">
      <c r="A2037" s="9" t="s">
        <v>571</v>
      </c>
      <c r="B2037" s="9" t="s">
        <v>571</v>
      </c>
      <c r="C2037" s="4">
        <v>201000798</v>
      </c>
      <c r="D2037" s="4"/>
      <c r="E2037" s="4" t="str">
        <f>"015062010"</f>
        <v>015062010</v>
      </c>
      <c r="F2037" s="10">
        <v>40142</v>
      </c>
      <c r="G2037" s="11">
        <v>840.37</v>
      </c>
      <c r="H2037" s="11">
        <v>840.37</v>
      </c>
      <c r="I2037" s="4" t="s">
        <v>366</v>
      </c>
      <c r="J2037" s="4" t="s">
        <v>367</v>
      </c>
      <c r="K2037" s="11">
        <v>0</v>
      </c>
      <c r="L2037" s="4"/>
      <c r="M2037" s="4"/>
      <c r="N2037" s="11">
        <v>0</v>
      </c>
      <c r="O2037" s="4"/>
      <c r="P2037" s="4"/>
      <c r="Q2037" s="11">
        <v>0</v>
      </c>
      <c r="R2037" s="4"/>
      <c r="S2037" s="12"/>
    </row>
    <row r="2038" spans="1:19" x14ac:dyDescent="0.25">
      <c r="A2038" s="9" t="s">
        <v>571</v>
      </c>
      <c r="B2038" s="9" t="s">
        <v>571</v>
      </c>
      <c r="C2038" s="4">
        <v>201000798</v>
      </c>
      <c r="D2038" s="4"/>
      <c r="E2038" s="4" t="str">
        <f>"015082010"</f>
        <v>015082010</v>
      </c>
      <c r="F2038" s="10">
        <v>40142</v>
      </c>
      <c r="G2038" s="11">
        <v>4855.79</v>
      </c>
      <c r="H2038" s="11">
        <v>4855.79</v>
      </c>
      <c r="I2038" s="4" t="s">
        <v>366</v>
      </c>
      <c r="J2038" s="4" t="s">
        <v>367</v>
      </c>
      <c r="K2038" s="11">
        <v>0</v>
      </c>
      <c r="L2038" s="4"/>
      <c r="M2038" s="4"/>
      <c r="N2038" s="11">
        <v>0</v>
      </c>
      <c r="O2038" s="4"/>
      <c r="P2038" s="4"/>
      <c r="Q2038" s="11">
        <v>0</v>
      </c>
      <c r="R2038" s="4"/>
      <c r="S2038" s="12"/>
    </row>
    <row r="2039" spans="1:19" x14ac:dyDescent="0.25">
      <c r="A2039" s="9" t="s">
        <v>571</v>
      </c>
      <c r="B2039" s="9" t="s">
        <v>571</v>
      </c>
      <c r="C2039" s="4">
        <v>201000817</v>
      </c>
      <c r="D2039" s="4" t="s">
        <v>2176</v>
      </c>
      <c r="E2039" s="4" t="str">
        <f>"017742010"</f>
        <v>017742010</v>
      </c>
      <c r="F2039" s="10">
        <v>40150</v>
      </c>
      <c r="G2039" s="11">
        <v>749997</v>
      </c>
      <c r="H2039" s="11">
        <v>749997</v>
      </c>
      <c r="I2039" s="4" t="s">
        <v>687</v>
      </c>
      <c r="J2039" s="4" t="s">
        <v>688</v>
      </c>
      <c r="K2039" s="11">
        <v>0</v>
      </c>
      <c r="L2039" s="4"/>
      <c r="M2039" s="4"/>
      <c r="N2039" s="11">
        <v>0</v>
      </c>
      <c r="O2039" s="4"/>
      <c r="P2039" s="4"/>
      <c r="Q2039" s="11">
        <v>0</v>
      </c>
      <c r="R2039" s="4"/>
      <c r="S2039" s="12"/>
    </row>
    <row r="2040" spans="1:19" x14ac:dyDescent="0.25">
      <c r="A2040" s="9" t="s">
        <v>571</v>
      </c>
      <c r="B2040" s="9" t="s">
        <v>571</v>
      </c>
      <c r="C2040" s="4">
        <v>201000821</v>
      </c>
      <c r="D2040" s="4"/>
      <c r="E2040" s="4" t="str">
        <f>"016222010"</f>
        <v>016222010</v>
      </c>
      <c r="F2040" s="10">
        <v>40148</v>
      </c>
      <c r="G2040" s="11">
        <v>65000</v>
      </c>
      <c r="H2040" s="11">
        <v>65000</v>
      </c>
      <c r="I2040" s="4" t="s">
        <v>687</v>
      </c>
      <c r="J2040" s="4" t="s">
        <v>688</v>
      </c>
      <c r="K2040" s="11">
        <v>0</v>
      </c>
      <c r="L2040" s="4"/>
      <c r="M2040" s="4"/>
      <c r="N2040" s="11">
        <v>0</v>
      </c>
      <c r="O2040" s="4"/>
      <c r="P2040" s="4"/>
      <c r="Q2040" s="11">
        <v>0</v>
      </c>
      <c r="R2040" s="4"/>
      <c r="S2040" s="12"/>
    </row>
    <row r="2041" spans="1:19" x14ac:dyDescent="0.25">
      <c r="A2041" s="9" t="s">
        <v>571</v>
      </c>
      <c r="B2041" s="9" t="s">
        <v>571</v>
      </c>
      <c r="C2041" s="4">
        <v>201000822</v>
      </c>
      <c r="D2041" s="4"/>
      <c r="E2041" s="4" t="str">
        <f>"016142010"</f>
        <v>016142010</v>
      </c>
      <c r="F2041" s="10">
        <v>40149</v>
      </c>
      <c r="G2041" s="11">
        <v>2572.17</v>
      </c>
      <c r="H2041" s="11">
        <v>2572.17</v>
      </c>
      <c r="I2041" s="4" t="s">
        <v>366</v>
      </c>
      <c r="J2041" s="4" t="s">
        <v>367</v>
      </c>
      <c r="K2041" s="11">
        <v>0</v>
      </c>
      <c r="L2041" s="4"/>
      <c r="M2041" s="4"/>
      <c r="N2041" s="11">
        <v>0</v>
      </c>
      <c r="O2041" s="4"/>
      <c r="P2041" s="4"/>
      <c r="Q2041" s="11">
        <v>0</v>
      </c>
      <c r="R2041" s="4"/>
      <c r="S2041" s="12"/>
    </row>
    <row r="2042" spans="1:19" x14ac:dyDescent="0.25">
      <c r="A2042" s="9" t="s">
        <v>571</v>
      </c>
      <c r="B2042" s="9" t="s">
        <v>571</v>
      </c>
      <c r="C2042" s="4">
        <v>201000827</v>
      </c>
      <c r="D2042" s="4" t="s">
        <v>2177</v>
      </c>
      <c r="E2042" s="4" t="str">
        <f>"016532010"</f>
        <v>016532010</v>
      </c>
      <c r="F2042" s="10">
        <v>40149</v>
      </c>
      <c r="G2042" s="11">
        <v>39000</v>
      </c>
      <c r="H2042" s="11">
        <v>39000</v>
      </c>
      <c r="I2042" s="4" t="s">
        <v>687</v>
      </c>
      <c r="J2042" s="4" t="s">
        <v>688</v>
      </c>
      <c r="K2042" s="11">
        <v>0</v>
      </c>
      <c r="L2042" s="4"/>
      <c r="M2042" s="4"/>
      <c r="N2042" s="11">
        <v>0</v>
      </c>
      <c r="O2042" s="4"/>
      <c r="P2042" s="4"/>
      <c r="Q2042" s="11">
        <v>0</v>
      </c>
      <c r="R2042" s="4"/>
      <c r="S2042" s="12"/>
    </row>
    <row r="2043" spans="1:19" x14ac:dyDescent="0.25">
      <c r="A2043" s="9" t="s">
        <v>571</v>
      </c>
      <c r="B2043" s="9" t="s">
        <v>571</v>
      </c>
      <c r="C2043" s="4">
        <v>201000838</v>
      </c>
      <c r="D2043" s="4"/>
      <c r="E2043" s="4" t="str">
        <f>"020802010"</f>
        <v>020802010</v>
      </c>
      <c r="F2043" s="10">
        <v>40158</v>
      </c>
      <c r="G2043" s="11">
        <v>2600</v>
      </c>
      <c r="H2043" s="11">
        <v>2600</v>
      </c>
      <c r="I2043" s="4" t="s">
        <v>687</v>
      </c>
      <c r="J2043" s="4" t="s">
        <v>688</v>
      </c>
      <c r="K2043" s="11">
        <v>0</v>
      </c>
      <c r="L2043" s="4"/>
      <c r="M2043" s="4"/>
      <c r="N2043" s="11">
        <v>0</v>
      </c>
      <c r="O2043" s="4"/>
      <c r="P2043" s="4"/>
      <c r="Q2043" s="11">
        <v>0</v>
      </c>
      <c r="R2043" s="4"/>
      <c r="S2043" s="12"/>
    </row>
    <row r="2044" spans="1:19" x14ac:dyDescent="0.25">
      <c r="A2044" s="9" t="s">
        <v>571</v>
      </c>
      <c r="B2044" s="9" t="s">
        <v>571</v>
      </c>
      <c r="C2044" s="4">
        <v>201000891</v>
      </c>
      <c r="D2044" s="4"/>
      <c r="E2044" s="4" t="str">
        <f>"017702010"</f>
        <v>017702010</v>
      </c>
      <c r="F2044" s="10">
        <v>40150</v>
      </c>
      <c r="G2044" s="11">
        <v>25000</v>
      </c>
      <c r="H2044" s="11">
        <v>25000</v>
      </c>
      <c r="I2044" s="4" t="s">
        <v>54</v>
      </c>
      <c r="J2044" s="4" t="s">
        <v>55</v>
      </c>
      <c r="K2044" s="11">
        <v>0</v>
      </c>
      <c r="L2044" s="4"/>
      <c r="M2044" s="4"/>
      <c r="N2044" s="11">
        <v>0</v>
      </c>
      <c r="O2044" s="4"/>
      <c r="P2044" s="4"/>
      <c r="Q2044" s="11">
        <v>0</v>
      </c>
      <c r="R2044" s="4"/>
      <c r="S2044" s="12"/>
    </row>
    <row r="2045" spans="1:19" x14ac:dyDescent="0.25">
      <c r="A2045" s="9" t="s">
        <v>571</v>
      </c>
      <c r="B2045" s="9" t="s">
        <v>571</v>
      </c>
      <c r="C2045" s="4">
        <v>201000929</v>
      </c>
      <c r="D2045" s="4"/>
      <c r="E2045" s="4" t="str">
        <f>"017602010"</f>
        <v>017602010</v>
      </c>
      <c r="F2045" s="10">
        <v>40150</v>
      </c>
      <c r="G2045" s="11">
        <v>6343.09</v>
      </c>
      <c r="H2045" s="11">
        <v>6343.09</v>
      </c>
      <c r="I2045" s="4" t="s">
        <v>366</v>
      </c>
      <c r="J2045" s="4" t="s">
        <v>367</v>
      </c>
      <c r="K2045" s="11">
        <v>0</v>
      </c>
      <c r="L2045" s="4"/>
      <c r="M2045" s="4"/>
      <c r="N2045" s="11">
        <v>0</v>
      </c>
      <c r="O2045" s="4"/>
      <c r="P2045" s="4"/>
      <c r="Q2045" s="11">
        <v>0</v>
      </c>
      <c r="R2045" s="4"/>
      <c r="S2045" s="12"/>
    </row>
    <row r="2046" spans="1:19" x14ac:dyDescent="0.25">
      <c r="A2046" s="9" t="s">
        <v>571</v>
      </c>
      <c r="B2046" s="9" t="s">
        <v>571</v>
      </c>
      <c r="C2046" s="4">
        <v>201000933</v>
      </c>
      <c r="D2046" s="4" t="s">
        <v>2178</v>
      </c>
      <c r="E2046" s="4" t="str">
        <f>"017822010"</f>
        <v>017822010</v>
      </c>
      <c r="F2046" s="10">
        <v>40150</v>
      </c>
      <c r="G2046" s="11">
        <v>35000</v>
      </c>
      <c r="H2046" s="11">
        <v>35000</v>
      </c>
      <c r="I2046" s="4" t="s">
        <v>687</v>
      </c>
      <c r="J2046" s="4" t="s">
        <v>688</v>
      </c>
      <c r="K2046" s="11">
        <v>0</v>
      </c>
      <c r="L2046" s="4"/>
      <c r="M2046" s="4"/>
      <c r="N2046" s="11">
        <v>0</v>
      </c>
      <c r="O2046" s="4"/>
      <c r="P2046" s="4"/>
      <c r="Q2046" s="11">
        <v>0</v>
      </c>
      <c r="R2046" s="4"/>
      <c r="S2046" s="12"/>
    </row>
    <row r="2047" spans="1:19" x14ac:dyDescent="0.25">
      <c r="A2047" s="9" t="s">
        <v>571</v>
      </c>
      <c r="B2047" s="9" t="s">
        <v>571</v>
      </c>
      <c r="C2047" s="4">
        <v>201000955</v>
      </c>
      <c r="D2047" s="4"/>
      <c r="E2047" s="4" t="str">
        <f>"018272010"</f>
        <v>018272010</v>
      </c>
      <c r="F2047" s="10">
        <v>40151</v>
      </c>
      <c r="G2047" s="11">
        <v>3291.6</v>
      </c>
      <c r="H2047" s="11">
        <v>3291.6</v>
      </c>
      <c r="I2047" s="4" t="s">
        <v>366</v>
      </c>
      <c r="J2047" s="4" t="s">
        <v>367</v>
      </c>
      <c r="K2047" s="11">
        <v>0</v>
      </c>
      <c r="L2047" s="4"/>
      <c r="M2047" s="4"/>
      <c r="N2047" s="11">
        <v>0</v>
      </c>
      <c r="O2047" s="4"/>
      <c r="P2047" s="4"/>
      <c r="Q2047" s="11">
        <v>0</v>
      </c>
      <c r="R2047" s="4"/>
      <c r="S2047" s="12"/>
    </row>
    <row r="2048" spans="1:19" x14ac:dyDescent="0.25">
      <c r="A2048" s="9" t="s">
        <v>571</v>
      </c>
      <c r="B2048" s="9" t="s">
        <v>571</v>
      </c>
      <c r="C2048" s="4">
        <v>201000957</v>
      </c>
      <c r="D2048" s="4"/>
      <c r="E2048" s="4" t="str">
        <f>"018772010"</f>
        <v>018772010</v>
      </c>
      <c r="F2048" s="10">
        <v>40154</v>
      </c>
      <c r="G2048" s="11">
        <v>50000</v>
      </c>
      <c r="H2048" s="11">
        <v>50000</v>
      </c>
      <c r="I2048" s="4" t="s">
        <v>687</v>
      </c>
      <c r="J2048" s="4" t="s">
        <v>688</v>
      </c>
      <c r="K2048" s="11">
        <v>0</v>
      </c>
      <c r="L2048" s="4"/>
      <c r="M2048" s="4"/>
      <c r="N2048" s="11">
        <v>0</v>
      </c>
      <c r="O2048" s="4"/>
      <c r="P2048" s="4"/>
      <c r="Q2048" s="11">
        <v>0</v>
      </c>
      <c r="R2048" s="4"/>
      <c r="S2048" s="12"/>
    </row>
    <row r="2049" spans="1:19" x14ac:dyDescent="0.25">
      <c r="A2049" s="9" t="s">
        <v>571</v>
      </c>
      <c r="B2049" s="9" t="s">
        <v>571</v>
      </c>
      <c r="C2049" s="4">
        <v>201000974</v>
      </c>
      <c r="D2049" s="4"/>
      <c r="E2049" s="4" t="str">
        <f>"018372010"</f>
        <v>018372010</v>
      </c>
      <c r="F2049" s="10">
        <v>40155</v>
      </c>
      <c r="G2049" s="11">
        <v>3001.91</v>
      </c>
      <c r="H2049" s="11">
        <v>3001.91</v>
      </c>
      <c r="I2049" s="4" t="s">
        <v>366</v>
      </c>
      <c r="J2049" s="4" t="s">
        <v>367</v>
      </c>
      <c r="K2049" s="11">
        <v>0</v>
      </c>
      <c r="L2049" s="4"/>
      <c r="M2049" s="4"/>
      <c r="N2049" s="11">
        <v>0</v>
      </c>
      <c r="O2049" s="4"/>
      <c r="P2049" s="4"/>
      <c r="Q2049" s="11">
        <v>0</v>
      </c>
      <c r="R2049" s="4"/>
      <c r="S2049" s="12"/>
    </row>
    <row r="2050" spans="1:19" x14ac:dyDescent="0.25">
      <c r="A2050" s="9" t="s">
        <v>571</v>
      </c>
      <c r="B2050" s="9" t="s">
        <v>571</v>
      </c>
      <c r="C2050" s="4">
        <v>201000982</v>
      </c>
      <c r="D2050" s="4" t="s">
        <v>2154</v>
      </c>
      <c r="E2050" s="4" t="str">
        <f>"023772010"</f>
        <v>023772010</v>
      </c>
      <c r="F2050" s="10">
        <v>40165</v>
      </c>
      <c r="G2050" s="11">
        <v>398588.24</v>
      </c>
      <c r="H2050" s="11">
        <v>398588.24</v>
      </c>
      <c r="I2050" s="4" t="s">
        <v>687</v>
      </c>
      <c r="J2050" s="4" t="s">
        <v>688</v>
      </c>
      <c r="K2050" s="11">
        <v>0</v>
      </c>
      <c r="L2050" s="4"/>
      <c r="M2050" s="4"/>
      <c r="N2050" s="11">
        <v>0</v>
      </c>
      <c r="O2050" s="4"/>
      <c r="P2050" s="4"/>
      <c r="Q2050" s="11">
        <v>0</v>
      </c>
      <c r="R2050" s="4"/>
      <c r="S2050" s="12"/>
    </row>
    <row r="2051" spans="1:19" x14ac:dyDescent="0.25">
      <c r="A2051" s="9" t="s">
        <v>571</v>
      </c>
      <c r="B2051" s="9" t="s">
        <v>571</v>
      </c>
      <c r="C2051" s="4">
        <v>201000982</v>
      </c>
      <c r="D2051" s="4" t="s">
        <v>2154</v>
      </c>
      <c r="E2051" s="4" t="str">
        <f>"023792010"</f>
        <v>023792010</v>
      </c>
      <c r="F2051" s="10">
        <v>40170</v>
      </c>
      <c r="G2051" s="11">
        <v>1102.96</v>
      </c>
      <c r="H2051" s="11">
        <v>1102.96</v>
      </c>
      <c r="I2051" s="4" t="s">
        <v>687</v>
      </c>
      <c r="J2051" s="4" t="s">
        <v>688</v>
      </c>
      <c r="K2051" s="11">
        <v>0</v>
      </c>
      <c r="L2051" s="4"/>
      <c r="M2051" s="4"/>
      <c r="N2051" s="11">
        <v>0</v>
      </c>
      <c r="O2051" s="4"/>
      <c r="P2051" s="4"/>
      <c r="Q2051" s="11">
        <v>0</v>
      </c>
      <c r="R2051" s="4"/>
      <c r="S2051" s="12"/>
    </row>
    <row r="2052" spans="1:19" x14ac:dyDescent="0.25">
      <c r="A2052" s="9" t="s">
        <v>571</v>
      </c>
      <c r="B2052" s="9" t="s">
        <v>571</v>
      </c>
      <c r="C2052" s="4">
        <v>201001008</v>
      </c>
      <c r="D2052" s="4" t="s">
        <v>2179</v>
      </c>
      <c r="E2052" s="4" t="str">
        <f>"019032010"</f>
        <v>019032010</v>
      </c>
      <c r="F2052" s="10">
        <v>40155</v>
      </c>
      <c r="G2052" s="11">
        <v>4138.34</v>
      </c>
      <c r="H2052" s="11">
        <v>4138.34</v>
      </c>
      <c r="I2052" s="4" t="s">
        <v>366</v>
      </c>
      <c r="J2052" s="4" t="s">
        <v>367</v>
      </c>
      <c r="K2052" s="11">
        <v>0</v>
      </c>
      <c r="L2052" s="4"/>
      <c r="M2052" s="4"/>
      <c r="N2052" s="11">
        <v>0</v>
      </c>
      <c r="O2052" s="4"/>
      <c r="P2052" s="4"/>
      <c r="Q2052" s="11">
        <v>0</v>
      </c>
      <c r="R2052" s="4"/>
      <c r="S2052" s="12"/>
    </row>
    <row r="2053" spans="1:19" x14ac:dyDescent="0.25">
      <c r="A2053" s="9" t="s">
        <v>571</v>
      </c>
      <c r="B2053" s="9" t="s">
        <v>571</v>
      </c>
      <c r="C2053" s="4">
        <v>201001026</v>
      </c>
      <c r="D2053" s="4" t="s">
        <v>2154</v>
      </c>
      <c r="E2053" s="4" t="str">
        <f>"024232010"</f>
        <v>024232010</v>
      </c>
      <c r="F2053" s="10">
        <v>40171</v>
      </c>
      <c r="G2053" s="11">
        <v>300000</v>
      </c>
      <c r="H2053" s="11">
        <v>300000</v>
      </c>
      <c r="I2053" s="4" t="s">
        <v>687</v>
      </c>
      <c r="J2053" s="4" t="s">
        <v>688</v>
      </c>
      <c r="K2053" s="11">
        <v>0</v>
      </c>
      <c r="L2053" s="4"/>
      <c r="M2053" s="4"/>
      <c r="N2053" s="11">
        <v>0</v>
      </c>
      <c r="O2053" s="4"/>
      <c r="P2053" s="4"/>
      <c r="Q2053" s="11">
        <v>0</v>
      </c>
      <c r="R2053" s="4"/>
      <c r="S2053" s="12"/>
    </row>
    <row r="2054" spans="1:19" x14ac:dyDescent="0.25">
      <c r="A2054" s="9" t="s">
        <v>571</v>
      </c>
      <c r="B2054" s="9" t="s">
        <v>571</v>
      </c>
      <c r="C2054" s="4">
        <v>201001028</v>
      </c>
      <c r="D2054" s="4" t="s">
        <v>2180</v>
      </c>
      <c r="E2054" s="4" t="str">
        <f>"020182010"</f>
        <v>020182010</v>
      </c>
      <c r="F2054" s="10">
        <v>40157</v>
      </c>
      <c r="G2054" s="11">
        <v>225000</v>
      </c>
      <c r="H2054" s="11">
        <v>225000</v>
      </c>
      <c r="I2054" s="4" t="s">
        <v>687</v>
      </c>
      <c r="J2054" s="4" t="s">
        <v>688</v>
      </c>
      <c r="K2054" s="11">
        <v>0</v>
      </c>
      <c r="L2054" s="4"/>
      <c r="M2054" s="4"/>
      <c r="N2054" s="11">
        <v>0</v>
      </c>
      <c r="O2054" s="4"/>
      <c r="P2054" s="4"/>
      <c r="Q2054" s="11">
        <v>0</v>
      </c>
      <c r="R2054" s="4"/>
      <c r="S2054" s="12"/>
    </row>
    <row r="2055" spans="1:19" x14ac:dyDescent="0.25">
      <c r="A2055" s="9" t="s">
        <v>571</v>
      </c>
      <c r="B2055" s="9" t="s">
        <v>571</v>
      </c>
      <c r="C2055" s="4">
        <v>201001042</v>
      </c>
      <c r="D2055" s="4" t="s">
        <v>2181</v>
      </c>
      <c r="E2055" s="4" t="str">
        <f>"021352010"</f>
        <v>021352010</v>
      </c>
      <c r="F2055" s="10">
        <v>40158</v>
      </c>
      <c r="G2055" s="11">
        <v>82500</v>
      </c>
      <c r="H2055" s="11">
        <v>82500</v>
      </c>
      <c r="I2055" s="4" t="s">
        <v>687</v>
      </c>
      <c r="J2055" s="4" t="s">
        <v>688</v>
      </c>
      <c r="K2055" s="11">
        <v>0</v>
      </c>
      <c r="L2055" s="4"/>
      <c r="M2055" s="4"/>
      <c r="N2055" s="11">
        <v>0</v>
      </c>
      <c r="O2055" s="4"/>
      <c r="P2055" s="4"/>
      <c r="Q2055" s="11">
        <v>0</v>
      </c>
      <c r="R2055" s="4"/>
      <c r="S2055" s="12"/>
    </row>
    <row r="2056" spans="1:19" x14ac:dyDescent="0.25">
      <c r="A2056" s="9" t="s">
        <v>571</v>
      </c>
      <c r="B2056" s="9" t="s">
        <v>571</v>
      </c>
      <c r="C2056" s="4">
        <v>201001042</v>
      </c>
      <c r="D2056" s="4" t="s">
        <v>2181</v>
      </c>
      <c r="E2056" s="4" t="str">
        <f>"021372010"</f>
        <v>021372010</v>
      </c>
      <c r="F2056" s="10">
        <v>40158</v>
      </c>
      <c r="G2056" s="11">
        <v>17000</v>
      </c>
      <c r="H2056" s="11">
        <v>17000</v>
      </c>
      <c r="I2056" s="4" t="s">
        <v>687</v>
      </c>
      <c r="J2056" s="4" t="s">
        <v>688</v>
      </c>
      <c r="K2056" s="11">
        <v>0</v>
      </c>
      <c r="L2056" s="4"/>
      <c r="M2056" s="4"/>
      <c r="N2056" s="11">
        <v>0</v>
      </c>
      <c r="O2056" s="4"/>
      <c r="P2056" s="4"/>
      <c r="Q2056" s="11">
        <v>0</v>
      </c>
      <c r="R2056" s="4"/>
      <c r="S2056" s="12"/>
    </row>
    <row r="2057" spans="1:19" x14ac:dyDescent="0.25">
      <c r="A2057" s="9" t="s">
        <v>571</v>
      </c>
      <c r="B2057" s="9" t="s">
        <v>571</v>
      </c>
      <c r="C2057" s="4">
        <v>201001043</v>
      </c>
      <c r="D2057" s="4" t="s">
        <v>2182</v>
      </c>
      <c r="E2057" s="4" t="str">
        <f>"019822010"</f>
        <v>019822010</v>
      </c>
      <c r="F2057" s="10">
        <v>40157</v>
      </c>
      <c r="G2057" s="11">
        <v>51698</v>
      </c>
      <c r="H2057" s="11">
        <v>51698</v>
      </c>
      <c r="I2057" s="4" t="s">
        <v>366</v>
      </c>
      <c r="J2057" s="4" t="s">
        <v>367</v>
      </c>
      <c r="K2057" s="11">
        <v>0</v>
      </c>
      <c r="L2057" s="4"/>
      <c r="M2057" s="4"/>
      <c r="N2057" s="11">
        <v>0</v>
      </c>
      <c r="O2057" s="4"/>
      <c r="P2057" s="4"/>
      <c r="Q2057" s="11">
        <v>0</v>
      </c>
      <c r="R2057" s="4"/>
      <c r="S2057" s="12"/>
    </row>
    <row r="2058" spans="1:19" x14ac:dyDescent="0.25">
      <c r="A2058" s="9" t="s">
        <v>571</v>
      </c>
      <c r="B2058" s="9" t="s">
        <v>571</v>
      </c>
      <c r="C2058" s="4">
        <v>201001059</v>
      </c>
      <c r="D2058" s="4" t="s">
        <v>2183</v>
      </c>
      <c r="E2058" s="4" t="str">
        <f>"020902010"</f>
        <v>020902010</v>
      </c>
      <c r="F2058" s="10">
        <v>40158</v>
      </c>
      <c r="G2058" s="11">
        <v>300000</v>
      </c>
      <c r="H2058" s="11">
        <v>300000</v>
      </c>
      <c r="I2058" s="4" t="s">
        <v>687</v>
      </c>
      <c r="J2058" s="4" t="s">
        <v>688</v>
      </c>
      <c r="K2058" s="11">
        <v>0</v>
      </c>
      <c r="L2058" s="4"/>
      <c r="M2058" s="4"/>
      <c r="N2058" s="11">
        <v>0</v>
      </c>
      <c r="O2058" s="4"/>
      <c r="P2058" s="4"/>
      <c r="Q2058" s="11">
        <v>0</v>
      </c>
      <c r="R2058" s="4"/>
      <c r="S2058" s="12"/>
    </row>
    <row r="2059" spans="1:19" x14ac:dyDescent="0.25">
      <c r="A2059" s="9" t="s">
        <v>571</v>
      </c>
      <c r="B2059" s="9" t="s">
        <v>571</v>
      </c>
      <c r="C2059" s="4">
        <v>201001078</v>
      </c>
      <c r="D2059" s="4"/>
      <c r="E2059" s="4" t="str">
        <f>"020722010"</f>
        <v>020722010</v>
      </c>
      <c r="F2059" s="10">
        <v>40162</v>
      </c>
      <c r="G2059" s="11">
        <v>25000</v>
      </c>
      <c r="H2059" s="11">
        <v>25000</v>
      </c>
      <c r="I2059" s="4" t="s">
        <v>931</v>
      </c>
      <c r="J2059" s="4" t="s">
        <v>932</v>
      </c>
      <c r="K2059" s="11">
        <v>0</v>
      </c>
      <c r="L2059" s="4"/>
      <c r="M2059" s="4"/>
      <c r="N2059" s="11">
        <v>0</v>
      </c>
      <c r="O2059" s="4"/>
      <c r="P2059" s="4"/>
      <c r="Q2059" s="11">
        <v>0</v>
      </c>
      <c r="R2059" s="4"/>
      <c r="S2059" s="12"/>
    </row>
    <row r="2060" spans="1:19" x14ac:dyDescent="0.25">
      <c r="A2060" s="9" t="s">
        <v>571</v>
      </c>
      <c r="B2060" s="9" t="s">
        <v>571</v>
      </c>
      <c r="C2060" s="4">
        <v>201001098</v>
      </c>
      <c r="D2060" s="4" t="s">
        <v>2184</v>
      </c>
      <c r="E2060" s="4" t="str">
        <f>"021062010"</f>
        <v>021062010</v>
      </c>
      <c r="F2060" s="10">
        <v>40158</v>
      </c>
      <c r="G2060" s="11">
        <v>21950</v>
      </c>
      <c r="H2060" s="11">
        <v>21950</v>
      </c>
      <c r="I2060" s="4" t="s">
        <v>366</v>
      </c>
      <c r="J2060" s="4" t="s">
        <v>367</v>
      </c>
      <c r="K2060" s="11">
        <v>0</v>
      </c>
      <c r="L2060" s="4"/>
      <c r="M2060" s="4"/>
      <c r="N2060" s="11">
        <v>0</v>
      </c>
      <c r="O2060" s="4"/>
      <c r="P2060" s="4"/>
      <c r="Q2060" s="11">
        <v>0</v>
      </c>
      <c r="R2060" s="4"/>
      <c r="S2060" s="12"/>
    </row>
    <row r="2061" spans="1:19" x14ac:dyDescent="0.25">
      <c r="A2061" s="9" t="s">
        <v>571</v>
      </c>
      <c r="B2061" s="9" t="s">
        <v>571</v>
      </c>
      <c r="C2061" s="4">
        <v>201001127</v>
      </c>
      <c r="D2061" s="4"/>
      <c r="E2061" s="4" t="str">
        <f>"023992010"</f>
        <v>023992010</v>
      </c>
      <c r="F2061" s="10">
        <v>40170</v>
      </c>
      <c r="G2061" s="11">
        <v>100000</v>
      </c>
      <c r="H2061" s="11">
        <v>100000</v>
      </c>
      <c r="I2061" s="4" t="s">
        <v>687</v>
      </c>
      <c r="J2061" s="4" t="s">
        <v>688</v>
      </c>
      <c r="K2061" s="11">
        <v>0</v>
      </c>
      <c r="L2061" s="4"/>
      <c r="M2061" s="4"/>
      <c r="N2061" s="11">
        <v>0</v>
      </c>
      <c r="O2061" s="4"/>
      <c r="P2061" s="4"/>
      <c r="Q2061" s="11">
        <v>0</v>
      </c>
      <c r="R2061" s="4"/>
      <c r="S2061" s="12"/>
    </row>
    <row r="2062" spans="1:19" x14ac:dyDescent="0.25">
      <c r="A2062" s="9" t="s">
        <v>571</v>
      </c>
      <c r="B2062" s="9" t="s">
        <v>571</v>
      </c>
      <c r="C2062" s="4">
        <v>201001128</v>
      </c>
      <c r="D2062" s="4"/>
      <c r="E2062" s="4" t="str">
        <f>"021832010"</f>
        <v>021832010</v>
      </c>
      <c r="F2062" s="10">
        <v>40161</v>
      </c>
      <c r="G2062" s="11">
        <v>5000</v>
      </c>
      <c r="H2062" s="11">
        <v>5000</v>
      </c>
      <c r="I2062" s="4" t="s">
        <v>687</v>
      </c>
      <c r="J2062" s="4" t="s">
        <v>688</v>
      </c>
      <c r="K2062" s="11">
        <v>0</v>
      </c>
      <c r="L2062" s="4"/>
      <c r="M2062" s="4"/>
      <c r="N2062" s="11">
        <v>0</v>
      </c>
      <c r="O2062" s="4"/>
      <c r="P2062" s="4"/>
      <c r="Q2062" s="11">
        <v>0</v>
      </c>
      <c r="R2062" s="4"/>
      <c r="S2062" s="12"/>
    </row>
    <row r="2063" spans="1:19" x14ac:dyDescent="0.25">
      <c r="A2063" s="9" t="s">
        <v>571</v>
      </c>
      <c r="B2063" s="9" t="s">
        <v>571</v>
      </c>
      <c r="C2063" s="4">
        <v>201001131</v>
      </c>
      <c r="D2063" s="4"/>
      <c r="E2063" s="4" t="str">
        <f>"032922010"</f>
        <v>032922010</v>
      </c>
      <c r="F2063" s="10">
        <v>40200</v>
      </c>
      <c r="G2063" s="11">
        <v>3223.21</v>
      </c>
      <c r="H2063" s="11">
        <v>3223.21</v>
      </c>
      <c r="I2063" s="4" t="s">
        <v>366</v>
      </c>
      <c r="J2063" s="4" t="s">
        <v>367</v>
      </c>
      <c r="K2063" s="11">
        <v>0</v>
      </c>
      <c r="L2063" s="4"/>
      <c r="M2063" s="4"/>
      <c r="N2063" s="11">
        <v>0</v>
      </c>
      <c r="O2063" s="4"/>
      <c r="P2063" s="4"/>
      <c r="Q2063" s="11">
        <v>0</v>
      </c>
      <c r="R2063" s="4"/>
      <c r="S2063" s="12"/>
    </row>
    <row r="2064" spans="1:19" x14ac:dyDescent="0.25">
      <c r="A2064" s="9" t="s">
        <v>571</v>
      </c>
      <c r="B2064" s="9" t="s">
        <v>571</v>
      </c>
      <c r="C2064" s="4">
        <v>201001175</v>
      </c>
      <c r="D2064" s="4"/>
      <c r="E2064" s="4" t="str">
        <f>"022972010"</f>
        <v>022972010</v>
      </c>
      <c r="F2064" s="10">
        <v>40165</v>
      </c>
      <c r="G2064" s="11">
        <v>3000</v>
      </c>
      <c r="H2064" s="11">
        <v>3000</v>
      </c>
      <c r="I2064" s="4" t="s">
        <v>931</v>
      </c>
      <c r="J2064" s="4" t="s">
        <v>932</v>
      </c>
      <c r="K2064" s="11">
        <v>0</v>
      </c>
      <c r="L2064" s="4"/>
      <c r="M2064" s="4"/>
      <c r="N2064" s="11">
        <v>0</v>
      </c>
      <c r="O2064" s="4"/>
      <c r="P2064" s="4"/>
      <c r="Q2064" s="11">
        <v>0</v>
      </c>
      <c r="R2064" s="4"/>
      <c r="S2064" s="12"/>
    </row>
    <row r="2065" spans="1:19" x14ac:dyDescent="0.25">
      <c r="A2065" s="9" t="s">
        <v>571</v>
      </c>
      <c r="B2065" s="9" t="s">
        <v>571</v>
      </c>
      <c r="C2065" s="4">
        <v>201001177</v>
      </c>
      <c r="D2065" s="4"/>
      <c r="E2065" s="4" t="str">
        <f>"023132010"</f>
        <v>023132010</v>
      </c>
      <c r="F2065" s="10">
        <v>40165</v>
      </c>
      <c r="G2065" s="11">
        <v>3394.5</v>
      </c>
      <c r="H2065" s="11">
        <v>3394.5</v>
      </c>
      <c r="I2065" s="4" t="s">
        <v>54</v>
      </c>
      <c r="J2065" s="4" t="s">
        <v>55</v>
      </c>
      <c r="K2065" s="11">
        <v>0</v>
      </c>
      <c r="L2065" s="4"/>
      <c r="M2065" s="4"/>
      <c r="N2065" s="11">
        <v>0</v>
      </c>
      <c r="O2065" s="4"/>
      <c r="P2065" s="4"/>
      <c r="Q2065" s="11">
        <v>0</v>
      </c>
      <c r="R2065" s="4"/>
      <c r="S2065" s="12"/>
    </row>
    <row r="2066" spans="1:19" x14ac:dyDescent="0.25">
      <c r="A2066" s="9" t="s">
        <v>571</v>
      </c>
      <c r="B2066" s="9" t="s">
        <v>571</v>
      </c>
      <c r="C2066" s="4">
        <v>201001191</v>
      </c>
      <c r="D2066" s="4" t="s">
        <v>2185</v>
      </c>
      <c r="E2066" s="4" t="str">
        <f>"023632010"</f>
        <v>023632010</v>
      </c>
      <c r="F2066" s="10">
        <v>40165</v>
      </c>
      <c r="G2066" s="11">
        <v>150000</v>
      </c>
      <c r="H2066" s="11">
        <v>150000</v>
      </c>
      <c r="I2066" s="4" t="s">
        <v>687</v>
      </c>
      <c r="J2066" s="4" t="s">
        <v>688</v>
      </c>
      <c r="K2066" s="11">
        <v>0</v>
      </c>
      <c r="L2066" s="4"/>
      <c r="M2066" s="4"/>
      <c r="N2066" s="11">
        <v>0</v>
      </c>
      <c r="O2066" s="4"/>
      <c r="P2066" s="4"/>
      <c r="Q2066" s="11">
        <v>0</v>
      </c>
      <c r="R2066" s="4"/>
      <c r="S2066" s="12"/>
    </row>
    <row r="2067" spans="1:19" x14ac:dyDescent="0.25">
      <c r="A2067" s="9" t="s">
        <v>571</v>
      </c>
      <c r="B2067" s="9" t="s">
        <v>571</v>
      </c>
      <c r="C2067" s="4">
        <v>201001221</v>
      </c>
      <c r="D2067" s="4"/>
      <c r="E2067" s="4" t="str">
        <f>"025172010"</f>
        <v>025172010</v>
      </c>
      <c r="F2067" s="10">
        <v>40177</v>
      </c>
      <c r="G2067" s="11">
        <v>13392.5</v>
      </c>
      <c r="H2067" s="11">
        <v>13392.5</v>
      </c>
      <c r="I2067" s="4" t="s">
        <v>366</v>
      </c>
      <c r="J2067" s="4" t="s">
        <v>367</v>
      </c>
      <c r="K2067" s="11">
        <v>0</v>
      </c>
      <c r="L2067" s="4"/>
      <c r="M2067" s="4"/>
      <c r="N2067" s="11">
        <v>0</v>
      </c>
      <c r="O2067" s="4"/>
      <c r="P2067" s="4"/>
      <c r="Q2067" s="11">
        <v>0</v>
      </c>
      <c r="R2067" s="4"/>
      <c r="S2067" s="12"/>
    </row>
    <row r="2068" spans="1:19" x14ac:dyDescent="0.25">
      <c r="A2068" s="9" t="s">
        <v>571</v>
      </c>
      <c r="B2068" s="9" t="s">
        <v>571</v>
      </c>
      <c r="C2068" s="4">
        <v>201001228</v>
      </c>
      <c r="D2068" s="4"/>
      <c r="E2068" s="4" t="str">
        <f>"024112010"</f>
        <v>024112010</v>
      </c>
      <c r="F2068" s="10">
        <v>40170</v>
      </c>
      <c r="G2068" s="11">
        <v>10000</v>
      </c>
      <c r="H2068" s="11">
        <v>10000</v>
      </c>
      <c r="I2068" s="4" t="s">
        <v>687</v>
      </c>
      <c r="J2068" s="4" t="s">
        <v>688</v>
      </c>
      <c r="K2068" s="11">
        <v>0</v>
      </c>
      <c r="L2068" s="4"/>
      <c r="M2068" s="4"/>
      <c r="N2068" s="11">
        <v>0</v>
      </c>
      <c r="O2068" s="4"/>
      <c r="P2068" s="4"/>
      <c r="Q2068" s="11">
        <v>0</v>
      </c>
      <c r="R2068" s="4"/>
      <c r="S2068" s="12"/>
    </row>
    <row r="2069" spans="1:19" x14ac:dyDescent="0.25">
      <c r="A2069" s="9" t="s">
        <v>571</v>
      </c>
      <c r="B2069" s="9" t="s">
        <v>571</v>
      </c>
      <c r="C2069" s="4">
        <v>201001230</v>
      </c>
      <c r="D2069" s="4"/>
      <c r="E2069" s="4" t="str">
        <f>"024212010"</f>
        <v>024212010</v>
      </c>
      <c r="F2069" s="10">
        <v>40171</v>
      </c>
      <c r="G2069" s="11">
        <v>30000</v>
      </c>
      <c r="H2069" s="11">
        <v>30000</v>
      </c>
      <c r="I2069" s="4" t="s">
        <v>687</v>
      </c>
      <c r="J2069" s="4" t="s">
        <v>688</v>
      </c>
      <c r="K2069" s="11">
        <v>0</v>
      </c>
      <c r="L2069" s="4"/>
      <c r="M2069" s="4"/>
      <c r="N2069" s="11">
        <v>0</v>
      </c>
      <c r="O2069" s="4"/>
      <c r="P2069" s="4"/>
      <c r="Q2069" s="11">
        <v>0</v>
      </c>
      <c r="R2069" s="4"/>
      <c r="S2069" s="12"/>
    </row>
    <row r="2070" spans="1:19" x14ac:dyDescent="0.25">
      <c r="A2070" s="9" t="s">
        <v>571</v>
      </c>
      <c r="B2070" s="9" t="s">
        <v>571</v>
      </c>
      <c r="C2070" s="4">
        <v>201001237</v>
      </c>
      <c r="D2070" s="4" t="s">
        <v>2186</v>
      </c>
      <c r="E2070" s="4" t="str">
        <f>"024352010"</f>
        <v>024352010</v>
      </c>
      <c r="F2070" s="10">
        <v>40171</v>
      </c>
      <c r="G2070" s="11">
        <v>300000</v>
      </c>
      <c r="H2070" s="11">
        <v>300000</v>
      </c>
      <c r="I2070" s="4" t="s">
        <v>687</v>
      </c>
      <c r="J2070" s="4" t="s">
        <v>688</v>
      </c>
      <c r="K2070" s="11">
        <v>0</v>
      </c>
      <c r="L2070" s="4"/>
      <c r="M2070" s="4"/>
      <c r="N2070" s="11">
        <v>0</v>
      </c>
      <c r="O2070" s="4"/>
      <c r="P2070" s="4"/>
      <c r="Q2070" s="11">
        <v>0</v>
      </c>
      <c r="R2070" s="4"/>
      <c r="S2070" s="12"/>
    </row>
    <row r="2071" spans="1:19" x14ac:dyDescent="0.25">
      <c r="A2071" s="9" t="s">
        <v>571</v>
      </c>
      <c r="B2071" s="9" t="s">
        <v>571</v>
      </c>
      <c r="C2071" s="4">
        <v>201001246</v>
      </c>
      <c r="D2071" s="4" t="s">
        <v>2187</v>
      </c>
      <c r="E2071" s="4" t="str">
        <f>"027352010"</f>
        <v>027352010</v>
      </c>
      <c r="F2071" s="10">
        <v>40185</v>
      </c>
      <c r="G2071" s="11">
        <v>5000</v>
      </c>
      <c r="H2071" s="11">
        <v>5000</v>
      </c>
      <c r="I2071" s="4" t="s">
        <v>54</v>
      </c>
      <c r="J2071" s="4" t="s">
        <v>55</v>
      </c>
      <c r="K2071" s="11">
        <v>0</v>
      </c>
      <c r="L2071" s="4"/>
      <c r="M2071" s="4"/>
      <c r="N2071" s="11">
        <v>0</v>
      </c>
      <c r="O2071" s="4"/>
      <c r="P2071" s="4"/>
      <c r="Q2071" s="11">
        <v>0</v>
      </c>
      <c r="R2071" s="4"/>
      <c r="S2071" s="12"/>
    </row>
    <row r="2072" spans="1:19" x14ac:dyDescent="0.25">
      <c r="A2072" s="9" t="s">
        <v>571</v>
      </c>
      <c r="B2072" s="9" t="s">
        <v>571</v>
      </c>
      <c r="C2072" s="4">
        <v>201001248</v>
      </c>
      <c r="D2072" s="4"/>
      <c r="E2072" s="4" t="str">
        <f>"056982010"</f>
        <v>056982010</v>
      </c>
      <c r="F2072" s="10">
        <v>40277</v>
      </c>
      <c r="G2072" s="11">
        <v>100000</v>
      </c>
      <c r="H2072" s="11">
        <v>100000</v>
      </c>
      <c r="I2072" s="4" t="s">
        <v>687</v>
      </c>
      <c r="J2072" s="4" t="s">
        <v>688</v>
      </c>
      <c r="K2072" s="11">
        <v>0</v>
      </c>
      <c r="L2072" s="4"/>
      <c r="M2072" s="4"/>
      <c r="N2072" s="11">
        <v>0</v>
      </c>
      <c r="O2072" s="4"/>
      <c r="P2072" s="4"/>
      <c r="Q2072" s="11">
        <v>0</v>
      </c>
      <c r="R2072" s="4"/>
      <c r="S2072" s="12"/>
    </row>
    <row r="2073" spans="1:19" x14ac:dyDescent="0.25">
      <c r="A2073" s="9" t="s">
        <v>571</v>
      </c>
      <c r="B2073" s="9" t="s">
        <v>571</v>
      </c>
      <c r="C2073" s="4">
        <v>201001274</v>
      </c>
      <c r="D2073" s="4" t="s">
        <v>2188</v>
      </c>
      <c r="E2073" s="4" t="str">
        <f>"025212010"</f>
        <v>025212010</v>
      </c>
      <c r="F2073" s="10">
        <v>40177</v>
      </c>
      <c r="G2073" s="11">
        <v>35000</v>
      </c>
      <c r="H2073" s="11">
        <v>35000</v>
      </c>
      <c r="I2073" s="4" t="s">
        <v>687</v>
      </c>
      <c r="J2073" s="4" t="s">
        <v>688</v>
      </c>
      <c r="K2073" s="11">
        <v>0</v>
      </c>
      <c r="L2073" s="4"/>
      <c r="M2073" s="4"/>
      <c r="N2073" s="11">
        <v>0</v>
      </c>
      <c r="O2073" s="4"/>
      <c r="P2073" s="4"/>
      <c r="Q2073" s="11">
        <v>0</v>
      </c>
      <c r="R2073" s="4"/>
      <c r="S2073" s="12"/>
    </row>
    <row r="2074" spans="1:19" x14ac:dyDescent="0.25">
      <c r="A2074" s="9" t="s">
        <v>571</v>
      </c>
      <c r="B2074" s="9" t="s">
        <v>571</v>
      </c>
      <c r="C2074" s="4">
        <v>201001276</v>
      </c>
      <c r="D2074" s="4"/>
      <c r="E2074" s="4" t="str">
        <f>"024632010"</f>
        <v>024632010</v>
      </c>
      <c r="F2074" s="10">
        <v>40177</v>
      </c>
      <c r="G2074" s="11">
        <v>100000</v>
      </c>
      <c r="H2074" s="11">
        <v>100000</v>
      </c>
      <c r="I2074" s="4" t="s">
        <v>54</v>
      </c>
      <c r="J2074" s="4" t="s">
        <v>55</v>
      </c>
      <c r="K2074" s="11">
        <v>0</v>
      </c>
      <c r="L2074" s="4"/>
      <c r="M2074" s="4"/>
      <c r="N2074" s="11">
        <v>0</v>
      </c>
      <c r="O2074" s="4"/>
      <c r="P2074" s="4"/>
      <c r="Q2074" s="11">
        <v>0</v>
      </c>
      <c r="R2074" s="4"/>
      <c r="S2074" s="12"/>
    </row>
    <row r="2075" spans="1:19" x14ac:dyDescent="0.25">
      <c r="A2075" s="9" t="s">
        <v>571</v>
      </c>
      <c r="B2075" s="9" t="s">
        <v>571</v>
      </c>
      <c r="C2075" s="4">
        <v>201001287</v>
      </c>
      <c r="D2075" s="4"/>
      <c r="E2075" s="4" t="str">
        <f>"026952010"</f>
        <v>026952010</v>
      </c>
      <c r="F2075" s="10">
        <v>40185</v>
      </c>
      <c r="G2075" s="11">
        <v>2500</v>
      </c>
      <c r="H2075" s="11">
        <v>2500</v>
      </c>
      <c r="I2075" s="4" t="s">
        <v>72</v>
      </c>
      <c r="J2075" s="4" t="s">
        <v>73</v>
      </c>
      <c r="K2075" s="11">
        <v>0</v>
      </c>
      <c r="L2075" s="4"/>
      <c r="M2075" s="4"/>
      <c r="N2075" s="11">
        <v>0</v>
      </c>
      <c r="O2075" s="4"/>
      <c r="P2075" s="4"/>
      <c r="Q2075" s="11">
        <v>0</v>
      </c>
      <c r="R2075" s="4"/>
      <c r="S2075" s="12"/>
    </row>
    <row r="2076" spans="1:19" x14ac:dyDescent="0.25">
      <c r="A2076" s="9" t="s">
        <v>571</v>
      </c>
      <c r="B2076" s="9" t="s">
        <v>571</v>
      </c>
      <c r="C2076" s="4">
        <v>201001291</v>
      </c>
      <c r="D2076" s="4" t="s">
        <v>2189</v>
      </c>
      <c r="E2076" s="4" t="str">
        <f>"030192010"</f>
        <v>030192010</v>
      </c>
      <c r="F2076" s="10">
        <v>40192</v>
      </c>
      <c r="G2076" s="11">
        <v>450000</v>
      </c>
      <c r="H2076" s="11">
        <v>450000</v>
      </c>
      <c r="I2076" s="4" t="s">
        <v>687</v>
      </c>
      <c r="J2076" s="4" t="s">
        <v>688</v>
      </c>
      <c r="K2076" s="11">
        <v>0</v>
      </c>
      <c r="L2076" s="4"/>
      <c r="M2076" s="4"/>
      <c r="N2076" s="11">
        <v>0</v>
      </c>
      <c r="O2076" s="4"/>
      <c r="P2076" s="4"/>
      <c r="Q2076" s="11">
        <v>0</v>
      </c>
      <c r="R2076" s="4"/>
      <c r="S2076" s="12"/>
    </row>
    <row r="2077" spans="1:19" x14ac:dyDescent="0.25">
      <c r="A2077" s="9" t="s">
        <v>571</v>
      </c>
      <c r="B2077" s="9" t="s">
        <v>571</v>
      </c>
      <c r="C2077" s="4">
        <v>201001308</v>
      </c>
      <c r="D2077" s="4"/>
      <c r="E2077" s="4" t="str">
        <f>"025292010"</f>
        <v>025292010</v>
      </c>
      <c r="F2077" s="10">
        <v>40177</v>
      </c>
      <c r="G2077" s="11">
        <v>3500</v>
      </c>
      <c r="H2077" s="11">
        <v>3500</v>
      </c>
      <c r="I2077" s="4" t="s">
        <v>366</v>
      </c>
      <c r="J2077" s="4" t="s">
        <v>367</v>
      </c>
      <c r="K2077" s="11">
        <v>0</v>
      </c>
      <c r="L2077" s="4"/>
      <c r="M2077" s="4"/>
      <c r="N2077" s="11">
        <v>0</v>
      </c>
      <c r="O2077" s="4"/>
      <c r="P2077" s="4"/>
      <c r="Q2077" s="11">
        <v>0</v>
      </c>
      <c r="R2077" s="4"/>
      <c r="S2077" s="12"/>
    </row>
    <row r="2078" spans="1:19" x14ac:dyDescent="0.25">
      <c r="A2078" s="9" t="s">
        <v>571</v>
      </c>
      <c r="B2078" s="9" t="s">
        <v>571</v>
      </c>
      <c r="C2078" s="4">
        <v>201001349</v>
      </c>
      <c r="D2078" s="4"/>
      <c r="E2078" s="4" t="str">
        <f>"026212010"</f>
        <v>026212010</v>
      </c>
      <c r="F2078" s="10">
        <v>40190</v>
      </c>
      <c r="G2078" s="11">
        <v>50000</v>
      </c>
      <c r="H2078" s="11">
        <v>50000</v>
      </c>
      <c r="I2078" s="4" t="s">
        <v>687</v>
      </c>
      <c r="J2078" s="4" t="s">
        <v>688</v>
      </c>
      <c r="K2078" s="11">
        <v>0</v>
      </c>
      <c r="L2078" s="4"/>
      <c r="M2078" s="4"/>
      <c r="N2078" s="11">
        <v>0</v>
      </c>
      <c r="O2078" s="4"/>
      <c r="P2078" s="4"/>
      <c r="Q2078" s="11">
        <v>0</v>
      </c>
      <c r="R2078" s="4"/>
      <c r="S2078" s="12"/>
    </row>
    <row r="2079" spans="1:19" x14ac:dyDescent="0.25">
      <c r="A2079" s="9" t="s">
        <v>571</v>
      </c>
      <c r="B2079" s="9" t="s">
        <v>571</v>
      </c>
      <c r="C2079" s="4">
        <v>201001366</v>
      </c>
      <c r="D2079" s="4" t="s">
        <v>2039</v>
      </c>
      <c r="E2079" s="4" t="str">
        <f>"027312010"</f>
        <v>027312010</v>
      </c>
      <c r="F2079" s="10">
        <v>40185</v>
      </c>
      <c r="G2079" s="11">
        <v>75000</v>
      </c>
      <c r="H2079" s="11">
        <v>75000</v>
      </c>
      <c r="I2079" s="4" t="s">
        <v>687</v>
      </c>
      <c r="J2079" s="4" t="s">
        <v>688</v>
      </c>
      <c r="K2079" s="11">
        <v>0</v>
      </c>
      <c r="L2079" s="4"/>
      <c r="M2079" s="4"/>
      <c r="N2079" s="11">
        <v>0</v>
      </c>
      <c r="O2079" s="4"/>
      <c r="P2079" s="4"/>
      <c r="Q2079" s="11">
        <v>0</v>
      </c>
      <c r="R2079" s="4"/>
      <c r="S2079" s="12"/>
    </row>
    <row r="2080" spans="1:19" x14ac:dyDescent="0.25">
      <c r="A2080" s="9" t="s">
        <v>571</v>
      </c>
      <c r="B2080" s="9" t="s">
        <v>571</v>
      </c>
      <c r="C2080" s="4">
        <v>201001375</v>
      </c>
      <c r="D2080" s="4"/>
      <c r="E2080" s="4" t="str">
        <f>"026752010"</f>
        <v>026752010</v>
      </c>
      <c r="F2080" s="10">
        <v>40185</v>
      </c>
      <c r="G2080" s="11">
        <v>100000</v>
      </c>
      <c r="H2080" s="11">
        <v>100000</v>
      </c>
      <c r="I2080" s="4" t="s">
        <v>687</v>
      </c>
      <c r="J2080" s="4" t="s">
        <v>688</v>
      </c>
      <c r="K2080" s="11">
        <v>0</v>
      </c>
      <c r="L2080" s="4"/>
      <c r="M2080" s="4"/>
      <c r="N2080" s="11">
        <v>0</v>
      </c>
      <c r="O2080" s="4"/>
      <c r="P2080" s="4"/>
      <c r="Q2080" s="11">
        <v>0</v>
      </c>
      <c r="R2080" s="4"/>
      <c r="S2080" s="12"/>
    </row>
    <row r="2081" spans="1:19" x14ac:dyDescent="0.25">
      <c r="A2081" s="9" t="s">
        <v>571</v>
      </c>
      <c r="B2081" s="9" t="s">
        <v>571</v>
      </c>
      <c r="C2081" s="4">
        <v>201001379</v>
      </c>
      <c r="D2081" s="4"/>
      <c r="E2081" s="4" t="str">
        <f>"026792010"</f>
        <v>026792010</v>
      </c>
      <c r="F2081" s="10">
        <v>40185</v>
      </c>
      <c r="G2081" s="11">
        <v>5000</v>
      </c>
      <c r="H2081" s="11">
        <v>5000</v>
      </c>
      <c r="I2081" s="4" t="s">
        <v>687</v>
      </c>
      <c r="J2081" s="4" t="s">
        <v>688</v>
      </c>
      <c r="K2081" s="11">
        <v>0</v>
      </c>
      <c r="L2081" s="4"/>
      <c r="M2081" s="4"/>
      <c r="N2081" s="11">
        <v>0</v>
      </c>
      <c r="O2081" s="4"/>
      <c r="P2081" s="4"/>
      <c r="Q2081" s="11">
        <v>0</v>
      </c>
      <c r="R2081" s="4"/>
      <c r="S2081" s="12"/>
    </row>
    <row r="2082" spans="1:19" x14ac:dyDescent="0.25">
      <c r="A2082" s="9" t="s">
        <v>571</v>
      </c>
      <c r="B2082" s="9" t="s">
        <v>571</v>
      </c>
      <c r="C2082" s="4">
        <v>201001383</v>
      </c>
      <c r="D2082" s="4"/>
      <c r="E2082" s="4" t="str">
        <f>"027772010"</f>
        <v>027772010</v>
      </c>
      <c r="F2082" s="10">
        <v>40185</v>
      </c>
      <c r="G2082" s="11">
        <v>3737</v>
      </c>
      <c r="H2082" s="11">
        <v>3737</v>
      </c>
      <c r="I2082" s="4" t="s">
        <v>54</v>
      </c>
      <c r="J2082" s="4" t="s">
        <v>55</v>
      </c>
      <c r="K2082" s="11">
        <v>0</v>
      </c>
      <c r="L2082" s="4"/>
      <c r="M2082" s="4"/>
      <c r="N2082" s="11">
        <v>0</v>
      </c>
      <c r="O2082" s="4"/>
      <c r="P2082" s="4"/>
      <c r="Q2082" s="11">
        <v>0</v>
      </c>
      <c r="R2082" s="4"/>
      <c r="S2082" s="12"/>
    </row>
    <row r="2083" spans="1:19" x14ac:dyDescent="0.25">
      <c r="A2083" s="9" t="s">
        <v>571</v>
      </c>
      <c r="B2083" s="9" t="s">
        <v>571</v>
      </c>
      <c r="C2083" s="4">
        <v>201001391</v>
      </c>
      <c r="D2083" s="4" t="s">
        <v>2190</v>
      </c>
      <c r="E2083" s="4" t="str">
        <f>"027492010"</f>
        <v>027492010</v>
      </c>
      <c r="F2083" s="10">
        <v>40185</v>
      </c>
      <c r="G2083" s="11">
        <v>50000</v>
      </c>
      <c r="H2083" s="11">
        <v>50000</v>
      </c>
      <c r="I2083" s="4" t="s">
        <v>54</v>
      </c>
      <c r="J2083" s="4" t="s">
        <v>55</v>
      </c>
      <c r="K2083" s="11">
        <v>0</v>
      </c>
      <c r="L2083" s="4"/>
      <c r="M2083" s="4"/>
      <c r="N2083" s="11">
        <v>0</v>
      </c>
      <c r="O2083" s="4"/>
      <c r="P2083" s="4"/>
      <c r="Q2083" s="11">
        <v>0</v>
      </c>
      <c r="R2083" s="4"/>
      <c r="S2083" s="12"/>
    </row>
    <row r="2084" spans="1:19" x14ac:dyDescent="0.25">
      <c r="A2084" s="9" t="s">
        <v>571</v>
      </c>
      <c r="B2084" s="9" t="s">
        <v>571</v>
      </c>
      <c r="C2084" s="4">
        <v>201001398</v>
      </c>
      <c r="D2084" s="4"/>
      <c r="E2084" s="4" t="str">
        <f>"027272010"</f>
        <v>027272010</v>
      </c>
      <c r="F2084" s="10">
        <v>40185</v>
      </c>
      <c r="G2084" s="11">
        <v>6898.9</v>
      </c>
      <c r="H2084" s="11">
        <v>6898.9</v>
      </c>
      <c r="I2084" s="4" t="s">
        <v>687</v>
      </c>
      <c r="J2084" s="4" t="s">
        <v>688</v>
      </c>
      <c r="K2084" s="11">
        <v>0</v>
      </c>
      <c r="L2084" s="4"/>
      <c r="M2084" s="4"/>
      <c r="N2084" s="11">
        <v>0</v>
      </c>
      <c r="O2084" s="4"/>
      <c r="P2084" s="4"/>
      <c r="Q2084" s="11">
        <v>0</v>
      </c>
      <c r="R2084" s="4"/>
      <c r="S2084" s="12"/>
    </row>
    <row r="2085" spans="1:19" x14ac:dyDescent="0.25">
      <c r="A2085" s="9" t="s">
        <v>571</v>
      </c>
      <c r="B2085" s="9" t="s">
        <v>571</v>
      </c>
      <c r="C2085" s="4">
        <v>201001399</v>
      </c>
      <c r="D2085" s="4"/>
      <c r="E2085" s="4" t="str">
        <f>"027572010"</f>
        <v>027572010</v>
      </c>
      <c r="F2085" s="10">
        <v>40185</v>
      </c>
      <c r="G2085" s="11">
        <v>3253.47</v>
      </c>
      <c r="H2085" s="11">
        <v>3253.47</v>
      </c>
      <c r="I2085" s="4" t="s">
        <v>366</v>
      </c>
      <c r="J2085" s="4" t="s">
        <v>367</v>
      </c>
      <c r="K2085" s="11">
        <v>0</v>
      </c>
      <c r="L2085" s="4"/>
      <c r="M2085" s="4"/>
      <c r="N2085" s="11">
        <v>0</v>
      </c>
      <c r="O2085" s="4"/>
      <c r="P2085" s="4"/>
      <c r="Q2085" s="11">
        <v>0</v>
      </c>
      <c r="R2085" s="4"/>
      <c r="S2085" s="12"/>
    </row>
    <row r="2086" spans="1:19" x14ac:dyDescent="0.25">
      <c r="A2086" s="9" t="s">
        <v>571</v>
      </c>
      <c r="B2086" s="9" t="s">
        <v>571</v>
      </c>
      <c r="C2086" s="4">
        <v>201001414</v>
      </c>
      <c r="D2086" s="4"/>
      <c r="E2086" s="4" t="str">
        <f>"027432010"</f>
        <v>027432010</v>
      </c>
      <c r="F2086" s="10">
        <v>40185</v>
      </c>
      <c r="G2086" s="11">
        <v>100000</v>
      </c>
      <c r="H2086" s="11">
        <v>100000</v>
      </c>
      <c r="I2086" s="4" t="s">
        <v>687</v>
      </c>
      <c r="J2086" s="4" t="s">
        <v>688</v>
      </c>
      <c r="K2086" s="11">
        <v>0</v>
      </c>
      <c r="L2086" s="4"/>
      <c r="M2086" s="4"/>
      <c r="N2086" s="11">
        <v>0</v>
      </c>
      <c r="O2086" s="4"/>
      <c r="P2086" s="4"/>
      <c r="Q2086" s="11">
        <v>0</v>
      </c>
      <c r="R2086" s="4"/>
      <c r="S2086" s="12"/>
    </row>
    <row r="2087" spans="1:19" x14ac:dyDescent="0.25">
      <c r="A2087" s="9" t="s">
        <v>571</v>
      </c>
      <c r="B2087" s="9" t="s">
        <v>571</v>
      </c>
      <c r="C2087" s="4">
        <v>201001439</v>
      </c>
      <c r="D2087" s="4"/>
      <c r="E2087" s="4" t="str">
        <f>"030392010"</f>
        <v>030392010</v>
      </c>
      <c r="F2087" s="10">
        <v>40192</v>
      </c>
      <c r="G2087" s="11">
        <v>50000</v>
      </c>
      <c r="H2087" s="11">
        <v>50000</v>
      </c>
      <c r="I2087" s="4" t="s">
        <v>687</v>
      </c>
      <c r="J2087" s="4" t="s">
        <v>688</v>
      </c>
      <c r="K2087" s="11">
        <v>0</v>
      </c>
      <c r="L2087" s="4"/>
      <c r="M2087" s="4"/>
      <c r="N2087" s="11">
        <v>0</v>
      </c>
      <c r="O2087" s="4"/>
      <c r="P2087" s="4"/>
      <c r="Q2087" s="11">
        <v>0</v>
      </c>
      <c r="R2087" s="4"/>
      <c r="S2087" s="12"/>
    </row>
    <row r="2088" spans="1:19" x14ac:dyDescent="0.25">
      <c r="A2088" s="9" t="s">
        <v>571</v>
      </c>
      <c r="B2088" s="9" t="s">
        <v>571</v>
      </c>
      <c r="C2088" s="4">
        <v>201001441</v>
      </c>
      <c r="D2088" s="4" t="s">
        <v>2191</v>
      </c>
      <c r="E2088" s="4" t="str">
        <f>"030452010"</f>
        <v>030452010</v>
      </c>
      <c r="F2088" s="10">
        <v>40192</v>
      </c>
      <c r="G2088" s="11">
        <v>85000</v>
      </c>
      <c r="H2088" s="11">
        <v>85000</v>
      </c>
      <c r="I2088" s="4" t="s">
        <v>687</v>
      </c>
      <c r="J2088" s="4" t="s">
        <v>688</v>
      </c>
      <c r="K2088" s="11">
        <v>0</v>
      </c>
      <c r="L2088" s="4"/>
      <c r="M2088" s="4"/>
      <c r="N2088" s="11">
        <v>0</v>
      </c>
      <c r="O2088" s="4"/>
      <c r="P2088" s="4"/>
      <c r="Q2088" s="11">
        <v>0</v>
      </c>
      <c r="R2088" s="4"/>
      <c r="S2088" s="12"/>
    </row>
    <row r="2089" spans="1:19" x14ac:dyDescent="0.25">
      <c r="A2089" s="9" t="s">
        <v>571</v>
      </c>
      <c r="B2089" s="9" t="s">
        <v>571</v>
      </c>
      <c r="C2089" s="4">
        <v>201001449</v>
      </c>
      <c r="D2089" s="4" t="s">
        <v>2192</v>
      </c>
      <c r="E2089" s="4" t="str">
        <f>"031142010"</f>
        <v>031142010</v>
      </c>
      <c r="F2089" s="10">
        <v>40197</v>
      </c>
      <c r="G2089" s="11">
        <v>290000</v>
      </c>
      <c r="H2089" s="11">
        <v>290000</v>
      </c>
      <c r="I2089" s="4" t="s">
        <v>687</v>
      </c>
      <c r="J2089" s="4" t="s">
        <v>688</v>
      </c>
      <c r="K2089" s="11">
        <v>0</v>
      </c>
      <c r="L2089" s="4"/>
      <c r="M2089" s="4"/>
      <c r="N2089" s="11">
        <v>0</v>
      </c>
      <c r="O2089" s="4"/>
      <c r="P2089" s="4"/>
      <c r="Q2089" s="11">
        <v>0</v>
      </c>
      <c r="R2089" s="4"/>
      <c r="S2089" s="12"/>
    </row>
    <row r="2090" spans="1:19" x14ac:dyDescent="0.25">
      <c r="A2090" s="9" t="s">
        <v>571</v>
      </c>
      <c r="B2090" s="9" t="s">
        <v>571</v>
      </c>
      <c r="C2090" s="4">
        <v>201001450</v>
      </c>
      <c r="D2090" s="4"/>
      <c r="E2090" s="4" t="str">
        <f>"028562010"</f>
        <v>028562010</v>
      </c>
      <c r="F2090" s="10">
        <v>40186</v>
      </c>
      <c r="G2090" s="11">
        <v>2800</v>
      </c>
      <c r="H2090" s="11">
        <v>2800</v>
      </c>
      <c r="I2090" s="4" t="s">
        <v>54</v>
      </c>
      <c r="J2090" s="4" t="s">
        <v>55</v>
      </c>
      <c r="K2090" s="11">
        <v>0</v>
      </c>
      <c r="L2090" s="4"/>
      <c r="M2090" s="4"/>
      <c r="N2090" s="11">
        <v>0</v>
      </c>
      <c r="O2090" s="4"/>
      <c r="P2090" s="4"/>
      <c r="Q2090" s="11">
        <v>0</v>
      </c>
      <c r="R2090" s="4"/>
      <c r="S2090" s="12"/>
    </row>
    <row r="2091" spans="1:19" x14ac:dyDescent="0.25">
      <c r="A2091" s="9" t="s">
        <v>571</v>
      </c>
      <c r="B2091" s="9" t="s">
        <v>571</v>
      </c>
      <c r="C2091" s="4">
        <v>201001486</v>
      </c>
      <c r="D2091" s="4"/>
      <c r="E2091" s="4" t="str">
        <f>"044082010"</f>
        <v>044082010</v>
      </c>
      <c r="F2091" s="10">
        <v>40245</v>
      </c>
      <c r="G2091" s="11">
        <v>50000</v>
      </c>
      <c r="H2091" s="11">
        <v>50000</v>
      </c>
      <c r="I2091" s="4" t="s">
        <v>687</v>
      </c>
      <c r="J2091" s="4" t="s">
        <v>688</v>
      </c>
      <c r="K2091" s="11">
        <v>0</v>
      </c>
      <c r="L2091" s="4"/>
      <c r="M2091" s="4"/>
      <c r="N2091" s="11">
        <v>0</v>
      </c>
      <c r="O2091" s="4"/>
      <c r="P2091" s="4"/>
      <c r="Q2091" s="11">
        <v>0</v>
      </c>
      <c r="R2091" s="4"/>
      <c r="S2091" s="12"/>
    </row>
    <row r="2092" spans="1:19" x14ac:dyDescent="0.25">
      <c r="A2092" s="9" t="s">
        <v>571</v>
      </c>
      <c r="B2092" s="9" t="s">
        <v>571</v>
      </c>
      <c r="C2092" s="4">
        <v>201001493</v>
      </c>
      <c r="D2092" s="4"/>
      <c r="E2092" s="4" t="str">
        <f>"029752010"</f>
        <v>029752010</v>
      </c>
      <c r="F2092" s="10">
        <v>40191</v>
      </c>
      <c r="G2092" s="11">
        <v>100000</v>
      </c>
      <c r="H2092" s="11">
        <v>100000</v>
      </c>
      <c r="I2092" s="4" t="s">
        <v>687</v>
      </c>
      <c r="J2092" s="4" t="s">
        <v>688</v>
      </c>
      <c r="K2092" s="11">
        <v>0</v>
      </c>
      <c r="L2092" s="4"/>
      <c r="M2092" s="4"/>
      <c r="N2092" s="11">
        <v>0</v>
      </c>
      <c r="O2092" s="4"/>
      <c r="P2092" s="4"/>
      <c r="Q2092" s="11">
        <v>0</v>
      </c>
      <c r="R2092" s="4"/>
      <c r="S2092" s="12"/>
    </row>
    <row r="2093" spans="1:19" x14ac:dyDescent="0.25">
      <c r="A2093" s="9" t="s">
        <v>571</v>
      </c>
      <c r="B2093" s="9" t="s">
        <v>571</v>
      </c>
      <c r="C2093" s="4">
        <v>201001504</v>
      </c>
      <c r="D2093" s="4" t="s">
        <v>2193</v>
      </c>
      <c r="E2093" s="4" t="str">
        <f>"035382010"</f>
        <v>035382010</v>
      </c>
      <c r="F2093" s="10">
        <v>40213</v>
      </c>
      <c r="G2093" s="11">
        <v>73000</v>
      </c>
      <c r="H2093" s="11">
        <v>73000</v>
      </c>
      <c r="I2093" s="4" t="s">
        <v>687</v>
      </c>
      <c r="J2093" s="4" t="s">
        <v>688</v>
      </c>
      <c r="K2093" s="11">
        <v>0</v>
      </c>
      <c r="L2093" s="4"/>
      <c r="M2093" s="4"/>
      <c r="N2093" s="11">
        <v>0</v>
      </c>
      <c r="O2093" s="4"/>
      <c r="P2093" s="4"/>
      <c r="Q2093" s="11">
        <v>0</v>
      </c>
      <c r="R2093" s="4"/>
      <c r="S2093" s="12"/>
    </row>
    <row r="2094" spans="1:19" x14ac:dyDescent="0.25">
      <c r="A2094" s="9" t="s">
        <v>571</v>
      </c>
      <c r="B2094" s="9" t="s">
        <v>571</v>
      </c>
      <c r="C2094" s="4">
        <v>201001516</v>
      </c>
      <c r="D2094" s="4"/>
      <c r="E2094" s="4" t="str">
        <f>"037872010"</f>
        <v>037872010</v>
      </c>
      <c r="F2094" s="10">
        <v>40227</v>
      </c>
      <c r="G2094" s="11">
        <v>325.11</v>
      </c>
      <c r="H2094" s="11">
        <v>325.11</v>
      </c>
      <c r="I2094" s="4" t="s">
        <v>366</v>
      </c>
      <c r="J2094" s="4" t="s">
        <v>367</v>
      </c>
      <c r="K2094" s="11">
        <v>0</v>
      </c>
      <c r="L2094" s="4"/>
      <c r="M2094" s="4"/>
      <c r="N2094" s="11">
        <v>0</v>
      </c>
      <c r="O2094" s="4"/>
      <c r="P2094" s="4"/>
      <c r="Q2094" s="11">
        <v>0</v>
      </c>
      <c r="R2094" s="4"/>
      <c r="S2094" s="12"/>
    </row>
    <row r="2095" spans="1:19" x14ac:dyDescent="0.25">
      <c r="A2095" s="9" t="s">
        <v>571</v>
      </c>
      <c r="B2095" s="9" t="s">
        <v>571</v>
      </c>
      <c r="C2095" s="4">
        <v>201001516</v>
      </c>
      <c r="D2095" s="4"/>
      <c r="E2095" s="4" t="str">
        <f>"037892010"</f>
        <v>037892010</v>
      </c>
      <c r="F2095" s="10">
        <v>40227</v>
      </c>
      <c r="G2095" s="11">
        <v>6074.31</v>
      </c>
      <c r="H2095" s="11">
        <v>6074.31</v>
      </c>
      <c r="I2095" s="4" t="s">
        <v>366</v>
      </c>
      <c r="J2095" s="4" t="s">
        <v>367</v>
      </c>
      <c r="K2095" s="11">
        <v>0</v>
      </c>
      <c r="L2095" s="4"/>
      <c r="M2095" s="4"/>
      <c r="N2095" s="11">
        <v>0</v>
      </c>
      <c r="O2095" s="4"/>
      <c r="P2095" s="4"/>
      <c r="Q2095" s="11">
        <v>0</v>
      </c>
      <c r="R2095" s="4"/>
      <c r="S2095" s="12"/>
    </row>
    <row r="2096" spans="1:19" x14ac:dyDescent="0.25">
      <c r="A2096" s="9" t="s">
        <v>571</v>
      </c>
      <c r="B2096" s="9" t="s">
        <v>571</v>
      </c>
      <c r="C2096" s="4">
        <v>201001556</v>
      </c>
      <c r="D2096" s="4"/>
      <c r="E2096" s="4" t="str">
        <f>"036582010"</f>
        <v>036582010</v>
      </c>
      <c r="F2096" s="10">
        <v>40213</v>
      </c>
      <c r="G2096" s="11">
        <v>0</v>
      </c>
      <c r="H2096" s="11">
        <v>7000</v>
      </c>
      <c r="I2096" s="4" t="s">
        <v>687</v>
      </c>
      <c r="J2096" s="4" t="s">
        <v>688</v>
      </c>
      <c r="K2096" s="11">
        <v>0</v>
      </c>
      <c r="L2096" s="4"/>
      <c r="M2096" s="4"/>
      <c r="N2096" s="11">
        <v>0</v>
      </c>
      <c r="O2096" s="4"/>
      <c r="P2096" s="4"/>
      <c r="Q2096" s="11">
        <v>0</v>
      </c>
      <c r="R2096" s="4"/>
      <c r="S2096" s="12"/>
    </row>
    <row r="2097" spans="1:19" x14ac:dyDescent="0.25">
      <c r="A2097" s="9" t="s">
        <v>571</v>
      </c>
      <c r="B2097" s="9" t="s">
        <v>571</v>
      </c>
      <c r="C2097" s="4">
        <v>201001556</v>
      </c>
      <c r="D2097" s="4"/>
      <c r="E2097" s="4" t="str">
        <f>"052702010"</f>
        <v>052702010</v>
      </c>
      <c r="F2097" s="10">
        <v>40266</v>
      </c>
      <c r="G2097" s="11">
        <v>10000</v>
      </c>
      <c r="H2097" s="11">
        <v>10000</v>
      </c>
      <c r="I2097" s="4" t="s">
        <v>687</v>
      </c>
      <c r="J2097" s="4" t="s">
        <v>688</v>
      </c>
      <c r="K2097" s="11">
        <v>0</v>
      </c>
      <c r="L2097" s="4"/>
      <c r="M2097" s="4"/>
      <c r="N2097" s="11">
        <v>0</v>
      </c>
      <c r="O2097" s="4"/>
      <c r="P2097" s="4"/>
      <c r="Q2097" s="11">
        <v>0</v>
      </c>
      <c r="R2097" s="4"/>
      <c r="S2097" s="12"/>
    </row>
    <row r="2098" spans="1:19" x14ac:dyDescent="0.25">
      <c r="A2098" s="9" t="s">
        <v>571</v>
      </c>
      <c r="B2098" s="9" t="s">
        <v>571</v>
      </c>
      <c r="C2098" s="4">
        <v>201001580</v>
      </c>
      <c r="D2098" s="4" t="s">
        <v>2194</v>
      </c>
      <c r="E2098" s="4" t="str">
        <f>"030572010"</f>
        <v>030572010</v>
      </c>
      <c r="F2098" s="10">
        <v>40192</v>
      </c>
      <c r="G2098" s="11">
        <v>9370.7000000000007</v>
      </c>
      <c r="H2098" s="11">
        <v>9370.7000000000007</v>
      </c>
      <c r="I2098" s="4" t="s">
        <v>366</v>
      </c>
      <c r="J2098" s="4" t="s">
        <v>367</v>
      </c>
      <c r="K2098" s="11">
        <v>0</v>
      </c>
      <c r="L2098" s="4"/>
      <c r="M2098" s="4"/>
      <c r="N2098" s="11">
        <v>0</v>
      </c>
      <c r="O2098" s="4"/>
      <c r="P2098" s="4"/>
      <c r="Q2098" s="11">
        <v>0</v>
      </c>
      <c r="R2098" s="4"/>
      <c r="S2098" s="12"/>
    </row>
    <row r="2099" spans="1:19" x14ac:dyDescent="0.25">
      <c r="A2099" s="9" t="s">
        <v>571</v>
      </c>
      <c r="B2099" s="9" t="s">
        <v>571</v>
      </c>
      <c r="C2099" s="4">
        <v>201001589</v>
      </c>
      <c r="D2099" s="4"/>
      <c r="E2099" s="4" t="str">
        <f>"033622010"</f>
        <v>033622010</v>
      </c>
      <c r="F2099" s="10">
        <v>40204</v>
      </c>
      <c r="G2099" s="11">
        <v>250000</v>
      </c>
      <c r="H2099" s="11">
        <v>250000</v>
      </c>
      <c r="I2099" s="4" t="s">
        <v>687</v>
      </c>
      <c r="J2099" s="4" t="s">
        <v>688</v>
      </c>
      <c r="K2099" s="11">
        <v>0</v>
      </c>
      <c r="L2099" s="4"/>
      <c r="M2099" s="4"/>
      <c r="N2099" s="11">
        <v>0</v>
      </c>
      <c r="O2099" s="4"/>
      <c r="P2099" s="4"/>
      <c r="Q2099" s="11">
        <v>0</v>
      </c>
      <c r="R2099" s="4"/>
      <c r="S2099" s="12"/>
    </row>
    <row r="2100" spans="1:19" x14ac:dyDescent="0.25">
      <c r="A2100" s="9" t="s">
        <v>571</v>
      </c>
      <c r="B2100" s="9" t="s">
        <v>571</v>
      </c>
      <c r="C2100" s="4">
        <v>201001593</v>
      </c>
      <c r="D2100" s="4" t="s">
        <v>2195</v>
      </c>
      <c r="E2100" s="4" t="str">
        <f>"031162010"</f>
        <v>031162010</v>
      </c>
      <c r="F2100" s="10">
        <v>40197</v>
      </c>
      <c r="G2100" s="11">
        <v>2800</v>
      </c>
      <c r="H2100" s="11">
        <v>2800</v>
      </c>
      <c r="I2100" s="4" t="s">
        <v>366</v>
      </c>
      <c r="J2100" s="4" t="s">
        <v>367</v>
      </c>
      <c r="K2100" s="11">
        <v>0</v>
      </c>
      <c r="L2100" s="4"/>
      <c r="M2100" s="4"/>
      <c r="N2100" s="11">
        <v>0</v>
      </c>
      <c r="O2100" s="4"/>
      <c r="P2100" s="4"/>
      <c r="Q2100" s="11">
        <v>0</v>
      </c>
      <c r="R2100" s="4"/>
      <c r="S2100" s="12"/>
    </row>
    <row r="2101" spans="1:19" x14ac:dyDescent="0.25">
      <c r="A2101" s="9" t="s">
        <v>571</v>
      </c>
      <c r="B2101" s="9" t="s">
        <v>571</v>
      </c>
      <c r="C2101" s="4">
        <v>201001626</v>
      </c>
      <c r="D2101" s="4" t="s">
        <v>2196</v>
      </c>
      <c r="E2101" s="4" t="str">
        <f>"032382010"</f>
        <v>032382010</v>
      </c>
      <c r="F2101" s="10">
        <v>40205</v>
      </c>
      <c r="G2101" s="11">
        <v>110000</v>
      </c>
      <c r="H2101" s="11">
        <v>110000</v>
      </c>
      <c r="I2101" s="4" t="s">
        <v>687</v>
      </c>
      <c r="J2101" s="4" t="s">
        <v>688</v>
      </c>
      <c r="K2101" s="11">
        <v>0</v>
      </c>
      <c r="L2101" s="4"/>
      <c r="M2101" s="4"/>
      <c r="N2101" s="11">
        <v>0</v>
      </c>
      <c r="O2101" s="4"/>
      <c r="P2101" s="4"/>
      <c r="Q2101" s="11">
        <v>0</v>
      </c>
      <c r="R2101" s="4"/>
      <c r="S2101" s="12"/>
    </row>
    <row r="2102" spans="1:19" x14ac:dyDescent="0.25">
      <c r="A2102" s="9" t="s">
        <v>571</v>
      </c>
      <c r="B2102" s="9" t="s">
        <v>571</v>
      </c>
      <c r="C2102" s="4">
        <v>201001659</v>
      </c>
      <c r="D2102" s="4"/>
      <c r="E2102" s="4" t="str">
        <f>"032342010"</f>
        <v>032342010</v>
      </c>
      <c r="F2102" s="10">
        <v>40205</v>
      </c>
      <c r="G2102" s="11">
        <v>2937</v>
      </c>
      <c r="H2102" s="11">
        <v>2937</v>
      </c>
      <c r="I2102" s="4" t="s">
        <v>366</v>
      </c>
      <c r="J2102" s="4" t="s">
        <v>367</v>
      </c>
      <c r="K2102" s="11">
        <v>0</v>
      </c>
      <c r="L2102" s="4"/>
      <c r="M2102" s="4"/>
      <c r="N2102" s="11">
        <v>0</v>
      </c>
      <c r="O2102" s="4"/>
      <c r="P2102" s="4"/>
      <c r="Q2102" s="11">
        <v>0</v>
      </c>
      <c r="R2102" s="4"/>
      <c r="S2102" s="12"/>
    </row>
    <row r="2103" spans="1:19" x14ac:dyDescent="0.25">
      <c r="A2103" s="9" t="s">
        <v>571</v>
      </c>
      <c r="B2103" s="9" t="s">
        <v>571</v>
      </c>
      <c r="C2103" s="4">
        <v>201001661</v>
      </c>
      <c r="D2103" s="4"/>
      <c r="E2103" s="4" t="str">
        <f>"032242010"</f>
        <v>032242010</v>
      </c>
      <c r="F2103" s="10">
        <v>40200</v>
      </c>
      <c r="G2103" s="11">
        <v>10000</v>
      </c>
      <c r="H2103" s="11">
        <v>10000</v>
      </c>
      <c r="I2103" s="4" t="s">
        <v>687</v>
      </c>
      <c r="J2103" s="4" t="s">
        <v>688</v>
      </c>
      <c r="K2103" s="11">
        <v>0</v>
      </c>
      <c r="L2103" s="4"/>
      <c r="M2103" s="4"/>
      <c r="N2103" s="11">
        <v>0</v>
      </c>
      <c r="O2103" s="4"/>
      <c r="P2103" s="4"/>
      <c r="Q2103" s="11">
        <v>0</v>
      </c>
      <c r="R2103" s="4"/>
      <c r="S2103" s="12"/>
    </row>
    <row r="2104" spans="1:19" x14ac:dyDescent="0.25">
      <c r="A2104" s="9" t="s">
        <v>571</v>
      </c>
      <c r="B2104" s="9" t="s">
        <v>571</v>
      </c>
      <c r="C2104" s="4">
        <v>201001663</v>
      </c>
      <c r="D2104" s="4"/>
      <c r="E2104" s="4" t="str">
        <f>"032282010"</f>
        <v>032282010</v>
      </c>
      <c r="F2104" s="10">
        <v>40205</v>
      </c>
      <c r="G2104" s="11">
        <v>75000</v>
      </c>
      <c r="H2104" s="11">
        <v>75000</v>
      </c>
      <c r="I2104" s="4" t="s">
        <v>687</v>
      </c>
      <c r="J2104" s="4" t="s">
        <v>688</v>
      </c>
      <c r="K2104" s="11">
        <v>0</v>
      </c>
      <c r="L2104" s="4"/>
      <c r="M2104" s="4"/>
      <c r="N2104" s="11">
        <v>0</v>
      </c>
      <c r="O2104" s="4"/>
      <c r="P2104" s="4"/>
      <c r="Q2104" s="11">
        <v>0</v>
      </c>
      <c r="R2104" s="4"/>
      <c r="S2104" s="12"/>
    </row>
    <row r="2105" spans="1:19" x14ac:dyDescent="0.25">
      <c r="A2105" s="9" t="s">
        <v>571</v>
      </c>
      <c r="B2105" s="9" t="s">
        <v>571</v>
      </c>
      <c r="C2105" s="4">
        <v>201001671</v>
      </c>
      <c r="D2105" s="4"/>
      <c r="E2105" s="4" t="str">
        <f>"032502010"</f>
        <v>032502010</v>
      </c>
      <c r="F2105" s="10">
        <v>40200</v>
      </c>
      <c r="G2105" s="11">
        <v>2736</v>
      </c>
      <c r="H2105" s="11">
        <v>2736</v>
      </c>
      <c r="I2105" s="4" t="s">
        <v>54</v>
      </c>
      <c r="J2105" s="4" t="s">
        <v>55</v>
      </c>
      <c r="K2105" s="11">
        <v>0</v>
      </c>
      <c r="L2105" s="4"/>
      <c r="M2105" s="4"/>
      <c r="N2105" s="11">
        <v>0</v>
      </c>
      <c r="O2105" s="4"/>
      <c r="P2105" s="4"/>
      <c r="Q2105" s="11">
        <v>0</v>
      </c>
      <c r="R2105" s="4"/>
      <c r="S2105" s="12"/>
    </row>
    <row r="2106" spans="1:19" x14ac:dyDescent="0.25">
      <c r="A2106" s="9" t="s">
        <v>571</v>
      </c>
      <c r="B2106" s="9" t="s">
        <v>571</v>
      </c>
      <c r="C2106" s="4">
        <v>201001676</v>
      </c>
      <c r="D2106" s="4"/>
      <c r="E2106" s="4" t="str">
        <f>"033182010"</f>
        <v>033182010</v>
      </c>
      <c r="F2106" s="10">
        <v>40203</v>
      </c>
      <c r="G2106" s="11">
        <v>75000</v>
      </c>
      <c r="H2106" s="11">
        <v>75000</v>
      </c>
      <c r="I2106" s="4" t="s">
        <v>687</v>
      </c>
      <c r="J2106" s="4" t="s">
        <v>688</v>
      </c>
      <c r="K2106" s="11">
        <v>0</v>
      </c>
      <c r="L2106" s="4"/>
      <c r="M2106" s="4"/>
      <c r="N2106" s="11">
        <v>0</v>
      </c>
      <c r="O2106" s="4"/>
      <c r="P2106" s="4"/>
      <c r="Q2106" s="11">
        <v>0</v>
      </c>
      <c r="R2106" s="4"/>
      <c r="S2106" s="12"/>
    </row>
    <row r="2107" spans="1:19" x14ac:dyDescent="0.25">
      <c r="A2107" s="9" t="s">
        <v>571</v>
      </c>
      <c r="B2107" s="9" t="s">
        <v>571</v>
      </c>
      <c r="C2107" s="4">
        <v>201001681</v>
      </c>
      <c r="D2107" s="4"/>
      <c r="E2107" s="4" t="str">
        <f>"036602010"</f>
        <v>036602010</v>
      </c>
      <c r="F2107" s="10">
        <v>40213</v>
      </c>
      <c r="G2107" s="11">
        <v>25000</v>
      </c>
      <c r="H2107" s="11">
        <v>25000</v>
      </c>
      <c r="I2107" s="4" t="s">
        <v>687</v>
      </c>
      <c r="J2107" s="4" t="s">
        <v>688</v>
      </c>
      <c r="K2107" s="11">
        <v>0</v>
      </c>
      <c r="L2107" s="4"/>
      <c r="M2107" s="4"/>
      <c r="N2107" s="11">
        <v>0</v>
      </c>
      <c r="O2107" s="4"/>
      <c r="P2107" s="4"/>
      <c r="Q2107" s="11">
        <v>0</v>
      </c>
      <c r="R2107" s="4"/>
      <c r="S2107" s="12"/>
    </row>
    <row r="2108" spans="1:19" x14ac:dyDescent="0.25">
      <c r="A2108" s="9" t="s">
        <v>571</v>
      </c>
      <c r="B2108" s="9" t="s">
        <v>571</v>
      </c>
      <c r="C2108" s="4">
        <v>201001690</v>
      </c>
      <c r="D2108" s="4" t="s">
        <v>2197</v>
      </c>
      <c r="E2108" s="4" t="str">
        <f>"033342010"</f>
        <v>033342010</v>
      </c>
      <c r="F2108" s="10">
        <v>40203</v>
      </c>
      <c r="G2108" s="11">
        <v>80000</v>
      </c>
      <c r="H2108" s="11">
        <v>80000</v>
      </c>
      <c r="I2108" s="4" t="s">
        <v>687</v>
      </c>
      <c r="J2108" s="4" t="s">
        <v>688</v>
      </c>
      <c r="K2108" s="11">
        <v>0</v>
      </c>
      <c r="L2108" s="4"/>
      <c r="M2108" s="4"/>
      <c r="N2108" s="11">
        <v>0</v>
      </c>
      <c r="O2108" s="4"/>
      <c r="P2108" s="4"/>
      <c r="Q2108" s="11">
        <v>0</v>
      </c>
      <c r="R2108" s="4"/>
      <c r="S2108" s="12"/>
    </row>
    <row r="2109" spans="1:19" x14ac:dyDescent="0.25">
      <c r="A2109" s="9" t="s">
        <v>571</v>
      </c>
      <c r="B2109" s="9" t="s">
        <v>571</v>
      </c>
      <c r="C2109" s="4">
        <v>201001703</v>
      </c>
      <c r="D2109" s="4" t="s">
        <v>2198</v>
      </c>
      <c r="E2109" s="4" t="str">
        <f>"033062010"</f>
        <v>033062010</v>
      </c>
      <c r="F2109" s="10">
        <v>40200</v>
      </c>
      <c r="G2109" s="11">
        <v>5000</v>
      </c>
      <c r="H2109" s="11">
        <v>5000</v>
      </c>
      <c r="I2109" s="4" t="s">
        <v>54</v>
      </c>
      <c r="J2109" s="4" t="s">
        <v>55</v>
      </c>
      <c r="K2109" s="11">
        <v>0</v>
      </c>
      <c r="L2109" s="4"/>
      <c r="M2109" s="4"/>
      <c r="N2109" s="11">
        <v>0</v>
      </c>
      <c r="O2109" s="4"/>
      <c r="P2109" s="4"/>
      <c r="Q2109" s="11">
        <v>0</v>
      </c>
      <c r="R2109" s="4"/>
      <c r="S2109" s="12"/>
    </row>
    <row r="2110" spans="1:19" x14ac:dyDescent="0.25">
      <c r="A2110" s="9" t="s">
        <v>571</v>
      </c>
      <c r="B2110" s="9" t="s">
        <v>571</v>
      </c>
      <c r="C2110" s="4">
        <v>201001706</v>
      </c>
      <c r="D2110" s="4" t="s">
        <v>2039</v>
      </c>
      <c r="E2110" s="4" t="str">
        <f>"043272010"</f>
        <v>043272010</v>
      </c>
      <c r="F2110" s="10">
        <v>40241</v>
      </c>
      <c r="G2110" s="11">
        <v>130000</v>
      </c>
      <c r="H2110" s="11">
        <v>130000</v>
      </c>
      <c r="I2110" s="4" t="s">
        <v>687</v>
      </c>
      <c r="J2110" s="4" t="s">
        <v>688</v>
      </c>
      <c r="K2110" s="11">
        <v>0</v>
      </c>
      <c r="L2110" s="4"/>
      <c r="M2110" s="4"/>
      <c r="N2110" s="11">
        <v>0</v>
      </c>
      <c r="O2110" s="4"/>
      <c r="P2110" s="4"/>
      <c r="Q2110" s="11">
        <v>0</v>
      </c>
      <c r="R2110" s="4"/>
      <c r="S2110" s="12"/>
    </row>
    <row r="2111" spans="1:19" x14ac:dyDescent="0.25">
      <c r="A2111" s="9" t="s">
        <v>571</v>
      </c>
      <c r="B2111" s="9" t="s">
        <v>571</v>
      </c>
      <c r="C2111" s="4">
        <v>201001706</v>
      </c>
      <c r="D2111" s="4" t="s">
        <v>2039</v>
      </c>
      <c r="E2111" s="4" t="str">
        <f>"043292010"</f>
        <v>043292010</v>
      </c>
      <c r="F2111" s="10">
        <v>40239</v>
      </c>
      <c r="G2111" s="11">
        <v>7432</v>
      </c>
      <c r="H2111" s="11">
        <v>7432</v>
      </c>
      <c r="I2111" s="4" t="s">
        <v>687</v>
      </c>
      <c r="J2111" s="4" t="s">
        <v>688</v>
      </c>
      <c r="K2111" s="11">
        <v>0</v>
      </c>
      <c r="L2111" s="4"/>
      <c r="M2111" s="4"/>
      <c r="N2111" s="11">
        <v>0</v>
      </c>
      <c r="O2111" s="4"/>
      <c r="P2111" s="4"/>
      <c r="Q2111" s="11">
        <v>0</v>
      </c>
      <c r="R2111" s="4"/>
      <c r="S2111" s="12"/>
    </row>
    <row r="2112" spans="1:19" x14ac:dyDescent="0.25">
      <c r="A2112" s="9" t="s">
        <v>571</v>
      </c>
      <c r="B2112" s="9" t="s">
        <v>571</v>
      </c>
      <c r="C2112" s="4">
        <v>201001707</v>
      </c>
      <c r="D2112" s="4"/>
      <c r="E2112" s="4" t="str">
        <f>"035062010"</f>
        <v>035062010</v>
      </c>
      <c r="F2112" s="10">
        <v>40212</v>
      </c>
      <c r="G2112" s="11">
        <v>3500</v>
      </c>
      <c r="H2112" s="11">
        <v>3500</v>
      </c>
      <c r="I2112" s="4" t="s">
        <v>931</v>
      </c>
      <c r="J2112" s="4" t="s">
        <v>932</v>
      </c>
      <c r="K2112" s="11">
        <v>0</v>
      </c>
      <c r="L2112" s="4"/>
      <c r="M2112" s="4"/>
      <c r="N2112" s="11">
        <v>0</v>
      </c>
      <c r="O2112" s="4"/>
      <c r="P2112" s="4"/>
      <c r="Q2112" s="11">
        <v>0</v>
      </c>
      <c r="R2112" s="4"/>
      <c r="S2112" s="12"/>
    </row>
    <row r="2113" spans="1:19" x14ac:dyDescent="0.25">
      <c r="A2113" s="9" t="s">
        <v>571</v>
      </c>
      <c r="B2113" s="9" t="s">
        <v>571</v>
      </c>
      <c r="C2113" s="4">
        <v>201001744</v>
      </c>
      <c r="D2113" s="4"/>
      <c r="E2113" s="4" t="str">
        <f>"048262010"</f>
        <v>048262010</v>
      </c>
      <c r="F2113" s="10">
        <v>40254</v>
      </c>
      <c r="G2113" s="11">
        <v>150000</v>
      </c>
      <c r="H2113" s="11">
        <v>150000</v>
      </c>
      <c r="I2113" s="4" t="s">
        <v>687</v>
      </c>
      <c r="J2113" s="4" t="s">
        <v>688</v>
      </c>
      <c r="K2113" s="11">
        <v>0</v>
      </c>
      <c r="L2113" s="4"/>
      <c r="M2113" s="4"/>
      <c r="N2113" s="11">
        <v>0</v>
      </c>
      <c r="O2113" s="4"/>
      <c r="P2113" s="4"/>
      <c r="Q2113" s="11">
        <v>0</v>
      </c>
      <c r="R2113" s="4"/>
      <c r="S2113" s="12"/>
    </row>
    <row r="2114" spans="1:19" x14ac:dyDescent="0.25">
      <c r="A2114" s="9" t="s">
        <v>571</v>
      </c>
      <c r="B2114" s="9" t="s">
        <v>571</v>
      </c>
      <c r="C2114" s="4">
        <v>201001758</v>
      </c>
      <c r="D2114" s="4"/>
      <c r="E2114" s="4" t="str">
        <f>"034122010"</f>
        <v>034122010</v>
      </c>
      <c r="F2114" s="10">
        <v>40205</v>
      </c>
      <c r="G2114" s="11">
        <v>6110.97</v>
      </c>
      <c r="H2114" s="11">
        <v>6110.97</v>
      </c>
      <c r="I2114" s="4" t="s">
        <v>366</v>
      </c>
      <c r="J2114" s="4" t="s">
        <v>367</v>
      </c>
      <c r="K2114" s="11">
        <v>0</v>
      </c>
      <c r="L2114" s="4"/>
      <c r="M2114" s="4"/>
      <c r="N2114" s="11">
        <v>0</v>
      </c>
      <c r="O2114" s="4"/>
      <c r="P2114" s="4"/>
      <c r="Q2114" s="11">
        <v>0</v>
      </c>
      <c r="R2114" s="4"/>
      <c r="S2114" s="12"/>
    </row>
    <row r="2115" spans="1:19" x14ac:dyDescent="0.25">
      <c r="A2115" s="9" t="s">
        <v>571</v>
      </c>
      <c r="B2115" s="9" t="s">
        <v>571</v>
      </c>
      <c r="C2115" s="4">
        <v>201001774</v>
      </c>
      <c r="D2115" s="4"/>
      <c r="E2115" s="4" t="str">
        <f>"037662010"</f>
        <v>037662010</v>
      </c>
      <c r="F2115" s="10">
        <v>40214</v>
      </c>
      <c r="G2115" s="11">
        <v>9000</v>
      </c>
      <c r="H2115" s="11">
        <v>9000</v>
      </c>
      <c r="I2115" s="4" t="s">
        <v>931</v>
      </c>
      <c r="J2115" s="4" t="s">
        <v>932</v>
      </c>
      <c r="K2115" s="11">
        <v>0</v>
      </c>
      <c r="L2115" s="4"/>
      <c r="M2115" s="4"/>
      <c r="N2115" s="11">
        <v>0</v>
      </c>
      <c r="O2115" s="4"/>
      <c r="P2115" s="4"/>
      <c r="Q2115" s="11">
        <v>0</v>
      </c>
      <c r="R2115" s="4"/>
      <c r="S2115" s="12"/>
    </row>
    <row r="2116" spans="1:19" x14ac:dyDescent="0.25">
      <c r="A2116" s="9" t="s">
        <v>571</v>
      </c>
      <c r="B2116" s="9" t="s">
        <v>571</v>
      </c>
      <c r="C2116" s="4">
        <v>201001779</v>
      </c>
      <c r="D2116" s="4"/>
      <c r="E2116" s="4" t="str">
        <f>"034502010"</f>
        <v>034502010</v>
      </c>
      <c r="F2116" s="10">
        <v>40212</v>
      </c>
      <c r="G2116" s="11">
        <v>90000</v>
      </c>
      <c r="H2116" s="11">
        <v>90000</v>
      </c>
      <c r="I2116" s="4" t="s">
        <v>687</v>
      </c>
      <c r="J2116" s="4" t="s">
        <v>688</v>
      </c>
      <c r="K2116" s="11">
        <v>0</v>
      </c>
      <c r="L2116" s="4"/>
      <c r="M2116" s="4"/>
      <c r="N2116" s="11">
        <v>0</v>
      </c>
      <c r="O2116" s="4"/>
      <c r="P2116" s="4"/>
      <c r="Q2116" s="11">
        <v>0</v>
      </c>
      <c r="R2116" s="4"/>
      <c r="S2116" s="12"/>
    </row>
    <row r="2117" spans="1:19" x14ac:dyDescent="0.25">
      <c r="A2117" s="9" t="s">
        <v>571</v>
      </c>
      <c r="B2117" s="9" t="s">
        <v>571</v>
      </c>
      <c r="C2117" s="4">
        <v>201001783</v>
      </c>
      <c r="D2117" s="4"/>
      <c r="E2117" s="4" t="str">
        <f>"036062010"</f>
        <v>036062010</v>
      </c>
      <c r="F2117" s="10">
        <v>40213</v>
      </c>
      <c r="G2117" s="11">
        <v>60000</v>
      </c>
      <c r="H2117" s="11">
        <v>60000</v>
      </c>
      <c r="I2117" s="4" t="s">
        <v>687</v>
      </c>
      <c r="J2117" s="4" t="s">
        <v>688</v>
      </c>
      <c r="K2117" s="11">
        <v>0</v>
      </c>
      <c r="L2117" s="4"/>
      <c r="M2117" s="4"/>
      <c r="N2117" s="11">
        <v>0</v>
      </c>
      <c r="O2117" s="4"/>
      <c r="P2117" s="4"/>
      <c r="Q2117" s="11">
        <v>0</v>
      </c>
      <c r="R2117" s="4"/>
      <c r="S2117" s="12"/>
    </row>
    <row r="2118" spans="1:19" x14ac:dyDescent="0.25">
      <c r="A2118" s="9" t="s">
        <v>571</v>
      </c>
      <c r="B2118" s="9" t="s">
        <v>571</v>
      </c>
      <c r="C2118" s="4">
        <v>201001793</v>
      </c>
      <c r="D2118" s="4" t="s">
        <v>2199</v>
      </c>
      <c r="E2118" s="4" t="str">
        <f>"041722010"</f>
        <v>041722010</v>
      </c>
      <c r="F2118" s="10">
        <v>40240</v>
      </c>
      <c r="G2118" s="11">
        <v>300000</v>
      </c>
      <c r="H2118" s="11">
        <v>300000</v>
      </c>
      <c r="I2118" s="4" t="s">
        <v>687</v>
      </c>
      <c r="J2118" s="4" t="s">
        <v>688</v>
      </c>
      <c r="K2118" s="11">
        <v>0</v>
      </c>
      <c r="L2118" s="4"/>
      <c r="M2118" s="4"/>
      <c r="N2118" s="11">
        <v>0</v>
      </c>
      <c r="O2118" s="4"/>
      <c r="P2118" s="4"/>
      <c r="Q2118" s="11">
        <v>0</v>
      </c>
      <c r="R2118" s="4"/>
      <c r="S2118" s="12"/>
    </row>
    <row r="2119" spans="1:19" x14ac:dyDescent="0.25">
      <c r="A2119" s="9" t="s">
        <v>571</v>
      </c>
      <c r="B2119" s="9" t="s">
        <v>571</v>
      </c>
      <c r="C2119" s="4">
        <v>201001810</v>
      </c>
      <c r="D2119" s="4"/>
      <c r="E2119" s="4" t="str">
        <f>"035002010"</f>
        <v>035002010</v>
      </c>
      <c r="F2119" s="10">
        <v>40212</v>
      </c>
      <c r="G2119" s="11">
        <v>150000</v>
      </c>
      <c r="H2119" s="11">
        <v>150000</v>
      </c>
      <c r="I2119" s="4" t="s">
        <v>687</v>
      </c>
      <c r="J2119" s="4" t="s">
        <v>688</v>
      </c>
      <c r="K2119" s="11">
        <v>0</v>
      </c>
      <c r="L2119" s="4"/>
      <c r="M2119" s="4"/>
      <c r="N2119" s="11">
        <v>0</v>
      </c>
      <c r="O2119" s="4"/>
      <c r="P2119" s="4"/>
      <c r="Q2119" s="11">
        <v>0</v>
      </c>
      <c r="R2119" s="4"/>
      <c r="S2119" s="12"/>
    </row>
    <row r="2120" spans="1:19" x14ac:dyDescent="0.25">
      <c r="A2120" s="9" t="s">
        <v>571</v>
      </c>
      <c r="B2120" s="9" t="s">
        <v>571</v>
      </c>
      <c r="C2120" s="4">
        <v>201001813</v>
      </c>
      <c r="D2120" s="4" t="s">
        <v>2200</v>
      </c>
      <c r="E2120" s="4" t="str">
        <f>"035022010"</f>
        <v>035022010</v>
      </c>
      <c r="F2120" s="10">
        <v>40212</v>
      </c>
      <c r="G2120" s="11">
        <v>8000</v>
      </c>
      <c r="H2120" s="11">
        <v>8000</v>
      </c>
      <c r="I2120" s="4" t="s">
        <v>366</v>
      </c>
      <c r="J2120" s="4" t="s">
        <v>367</v>
      </c>
      <c r="K2120" s="11">
        <v>0</v>
      </c>
      <c r="L2120" s="4"/>
      <c r="M2120" s="4"/>
      <c r="N2120" s="11">
        <v>0</v>
      </c>
      <c r="O2120" s="4"/>
      <c r="P2120" s="4"/>
      <c r="Q2120" s="11">
        <v>0</v>
      </c>
      <c r="R2120" s="4"/>
      <c r="S2120" s="12"/>
    </row>
    <row r="2121" spans="1:19" x14ac:dyDescent="0.25">
      <c r="A2121" s="9" t="s">
        <v>571</v>
      </c>
      <c r="B2121" s="9" t="s">
        <v>571</v>
      </c>
      <c r="C2121" s="4">
        <v>201001817</v>
      </c>
      <c r="D2121" s="4"/>
      <c r="E2121" s="4" t="str">
        <f>"035642010"</f>
        <v>035642010</v>
      </c>
      <c r="F2121" s="10">
        <v>40213</v>
      </c>
      <c r="G2121" s="11">
        <v>25000</v>
      </c>
      <c r="H2121" s="11">
        <v>25000</v>
      </c>
      <c r="I2121" s="4" t="s">
        <v>687</v>
      </c>
      <c r="J2121" s="4" t="s">
        <v>688</v>
      </c>
      <c r="K2121" s="11">
        <v>0</v>
      </c>
      <c r="L2121" s="4"/>
      <c r="M2121" s="4"/>
      <c r="N2121" s="11">
        <v>0</v>
      </c>
      <c r="O2121" s="4"/>
      <c r="P2121" s="4"/>
      <c r="Q2121" s="11">
        <v>0</v>
      </c>
      <c r="R2121" s="4"/>
      <c r="S2121" s="12"/>
    </row>
    <row r="2122" spans="1:19" x14ac:dyDescent="0.25">
      <c r="A2122" s="9" t="s">
        <v>571</v>
      </c>
      <c r="B2122" s="9" t="s">
        <v>571</v>
      </c>
      <c r="C2122" s="4">
        <v>201001818</v>
      </c>
      <c r="D2122" s="4"/>
      <c r="E2122" s="4" t="str">
        <f>"035622010"</f>
        <v>035622010</v>
      </c>
      <c r="F2122" s="10">
        <v>40213</v>
      </c>
      <c r="G2122" s="11">
        <v>13731</v>
      </c>
      <c r="H2122" s="11">
        <v>13731</v>
      </c>
      <c r="I2122" s="4" t="s">
        <v>687</v>
      </c>
      <c r="J2122" s="4" t="s">
        <v>688</v>
      </c>
      <c r="K2122" s="11">
        <v>0</v>
      </c>
      <c r="L2122" s="4"/>
      <c r="M2122" s="4"/>
      <c r="N2122" s="11">
        <v>0</v>
      </c>
      <c r="O2122" s="4"/>
      <c r="P2122" s="4"/>
      <c r="Q2122" s="11">
        <v>0</v>
      </c>
      <c r="R2122" s="4"/>
      <c r="S2122" s="12"/>
    </row>
    <row r="2123" spans="1:19" x14ac:dyDescent="0.25">
      <c r="A2123" s="9" t="s">
        <v>571</v>
      </c>
      <c r="B2123" s="9" t="s">
        <v>571</v>
      </c>
      <c r="C2123" s="4">
        <v>201001821</v>
      </c>
      <c r="D2123" s="4"/>
      <c r="E2123" s="4" t="str">
        <f>"035882010"</f>
        <v>035882010</v>
      </c>
      <c r="F2123" s="10">
        <v>40213</v>
      </c>
      <c r="G2123" s="11">
        <v>60000</v>
      </c>
      <c r="H2123" s="11">
        <v>60000</v>
      </c>
      <c r="I2123" s="4" t="s">
        <v>687</v>
      </c>
      <c r="J2123" s="4" t="s">
        <v>688</v>
      </c>
      <c r="K2123" s="11">
        <v>0</v>
      </c>
      <c r="L2123" s="4"/>
      <c r="M2123" s="4"/>
      <c r="N2123" s="11">
        <v>0</v>
      </c>
      <c r="O2123" s="4"/>
      <c r="P2123" s="4"/>
      <c r="Q2123" s="11">
        <v>0</v>
      </c>
      <c r="R2123" s="4"/>
      <c r="S2123" s="12"/>
    </row>
    <row r="2124" spans="1:19" x14ac:dyDescent="0.25">
      <c r="A2124" s="9" t="s">
        <v>571</v>
      </c>
      <c r="B2124" s="9" t="s">
        <v>571</v>
      </c>
      <c r="C2124" s="4">
        <v>201001829</v>
      </c>
      <c r="D2124" s="4" t="s">
        <v>2201</v>
      </c>
      <c r="E2124" s="4" t="str">
        <f>"035482010"</f>
        <v>035482010</v>
      </c>
      <c r="F2124" s="10">
        <v>40213</v>
      </c>
      <c r="G2124" s="11">
        <v>20000</v>
      </c>
      <c r="H2124" s="11">
        <v>20000</v>
      </c>
      <c r="I2124" s="4" t="s">
        <v>366</v>
      </c>
      <c r="J2124" s="4" t="s">
        <v>367</v>
      </c>
      <c r="K2124" s="11">
        <v>0</v>
      </c>
      <c r="L2124" s="4"/>
      <c r="M2124" s="4"/>
      <c r="N2124" s="11">
        <v>0</v>
      </c>
      <c r="O2124" s="4"/>
      <c r="P2124" s="4"/>
      <c r="Q2124" s="11">
        <v>0</v>
      </c>
      <c r="R2124" s="4"/>
      <c r="S2124" s="12"/>
    </row>
    <row r="2125" spans="1:19" x14ac:dyDescent="0.25">
      <c r="A2125" s="9" t="s">
        <v>571</v>
      </c>
      <c r="B2125" s="9" t="s">
        <v>571</v>
      </c>
      <c r="C2125" s="4">
        <v>201001832</v>
      </c>
      <c r="D2125" s="4"/>
      <c r="E2125" s="4" t="str">
        <f>"046932010"</f>
        <v>046932010</v>
      </c>
      <c r="F2125" s="10">
        <v>40252</v>
      </c>
      <c r="G2125" s="11">
        <v>3619.92</v>
      </c>
      <c r="H2125" s="11">
        <v>3619.92</v>
      </c>
      <c r="I2125" s="4" t="s">
        <v>366</v>
      </c>
      <c r="J2125" s="4" t="s">
        <v>367</v>
      </c>
      <c r="K2125" s="11">
        <v>0</v>
      </c>
      <c r="L2125" s="4"/>
      <c r="M2125" s="4"/>
      <c r="N2125" s="11">
        <v>0</v>
      </c>
      <c r="O2125" s="4"/>
      <c r="P2125" s="4"/>
      <c r="Q2125" s="11">
        <v>0</v>
      </c>
      <c r="R2125" s="4"/>
      <c r="S2125" s="12"/>
    </row>
    <row r="2126" spans="1:19" x14ac:dyDescent="0.25">
      <c r="A2126" s="9" t="s">
        <v>571</v>
      </c>
      <c r="B2126" s="9" t="s">
        <v>571</v>
      </c>
      <c r="C2126" s="4">
        <v>201001834</v>
      </c>
      <c r="D2126" s="4"/>
      <c r="E2126" s="4" t="str">
        <f>"038072010"</f>
        <v>038072010</v>
      </c>
      <c r="F2126" s="10">
        <v>40227</v>
      </c>
      <c r="G2126" s="11">
        <v>2842.78</v>
      </c>
      <c r="H2126" s="11">
        <v>2842.78</v>
      </c>
      <c r="I2126" s="4" t="s">
        <v>366</v>
      </c>
      <c r="J2126" s="4" t="s">
        <v>367</v>
      </c>
      <c r="K2126" s="11">
        <v>0</v>
      </c>
      <c r="L2126" s="4"/>
      <c r="M2126" s="4"/>
      <c r="N2126" s="11">
        <v>0</v>
      </c>
      <c r="O2126" s="4"/>
      <c r="P2126" s="4"/>
      <c r="Q2126" s="11">
        <v>0</v>
      </c>
      <c r="R2126" s="4"/>
      <c r="S2126" s="12"/>
    </row>
    <row r="2127" spans="1:19" x14ac:dyDescent="0.25">
      <c r="A2127" s="9" t="s">
        <v>571</v>
      </c>
      <c r="B2127" s="9" t="s">
        <v>571</v>
      </c>
      <c r="C2127" s="4">
        <v>201001836</v>
      </c>
      <c r="D2127" s="4"/>
      <c r="E2127" s="4" t="str">
        <f>"035522010"</f>
        <v>035522010</v>
      </c>
      <c r="F2127" s="10">
        <v>40213</v>
      </c>
      <c r="G2127" s="11">
        <v>25000</v>
      </c>
      <c r="H2127" s="11">
        <v>25000</v>
      </c>
      <c r="I2127" s="4" t="s">
        <v>687</v>
      </c>
      <c r="J2127" s="4" t="s">
        <v>688</v>
      </c>
      <c r="K2127" s="11">
        <v>0</v>
      </c>
      <c r="L2127" s="4"/>
      <c r="M2127" s="4"/>
      <c r="N2127" s="11">
        <v>0</v>
      </c>
      <c r="O2127" s="4"/>
      <c r="P2127" s="4"/>
      <c r="Q2127" s="11">
        <v>0</v>
      </c>
      <c r="R2127" s="4"/>
      <c r="S2127" s="12"/>
    </row>
    <row r="2128" spans="1:19" x14ac:dyDescent="0.25">
      <c r="A2128" s="9" t="s">
        <v>571</v>
      </c>
      <c r="B2128" s="9" t="s">
        <v>571</v>
      </c>
      <c r="C2128" s="4">
        <v>201001837</v>
      </c>
      <c r="D2128" s="4" t="s">
        <v>2202</v>
      </c>
      <c r="E2128" s="4" t="str">
        <f>"036982010"</f>
        <v>036982010</v>
      </c>
      <c r="F2128" s="10">
        <v>40214</v>
      </c>
      <c r="G2128" s="11">
        <v>93000</v>
      </c>
      <c r="H2128" s="11">
        <v>93000</v>
      </c>
      <c r="I2128" s="4" t="s">
        <v>54</v>
      </c>
      <c r="J2128" s="4" t="s">
        <v>55</v>
      </c>
      <c r="K2128" s="11">
        <v>0</v>
      </c>
      <c r="L2128" s="4"/>
      <c r="M2128" s="4"/>
      <c r="N2128" s="11">
        <v>0</v>
      </c>
      <c r="O2128" s="4"/>
      <c r="P2128" s="4"/>
      <c r="Q2128" s="11">
        <v>0</v>
      </c>
      <c r="R2128" s="4"/>
      <c r="S2128" s="12"/>
    </row>
    <row r="2129" spans="1:19" x14ac:dyDescent="0.25">
      <c r="A2129" s="9" t="s">
        <v>571</v>
      </c>
      <c r="B2129" s="9" t="s">
        <v>571</v>
      </c>
      <c r="C2129" s="4">
        <v>201001841</v>
      </c>
      <c r="D2129" s="4" t="s">
        <v>2203</v>
      </c>
      <c r="E2129" s="4" t="str">
        <f>"035322010"</f>
        <v>035322010</v>
      </c>
      <c r="F2129" s="10">
        <v>40213</v>
      </c>
      <c r="G2129" s="11">
        <v>3000</v>
      </c>
      <c r="H2129" s="11">
        <v>3000</v>
      </c>
      <c r="I2129" s="4" t="s">
        <v>54</v>
      </c>
      <c r="J2129" s="4" t="s">
        <v>55</v>
      </c>
      <c r="K2129" s="11">
        <v>0</v>
      </c>
      <c r="L2129" s="4"/>
      <c r="M2129" s="4"/>
      <c r="N2129" s="11">
        <v>0</v>
      </c>
      <c r="O2129" s="4"/>
      <c r="P2129" s="4"/>
      <c r="Q2129" s="11">
        <v>0</v>
      </c>
      <c r="R2129" s="4"/>
      <c r="S2129" s="12"/>
    </row>
    <row r="2130" spans="1:19" x14ac:dyDescent="0.25">
      <c r="A2130" s="9" t="s">
        <v>571</v>
      </c>
      <c r="B2130" s="9" t="s">
        <v>571</v>
      </c>
      <c r="C2130" s="4">
        <v>201001843</v>
      </c>
      <c r="D2130" s="4" t="s">
        <v>2204</v>
      </c>
      <c r="E2130" s="4" t="str">
        <f>"045082010"</f>
        <v>045082010</v>
      </c>
      <c r="F2130" s="10">
        <v>40246</v>
      </c>
      <c r="G2130" s="11">
        <v>150000</v>
      </c>
      <c r="H2130" s="11">
        <v>150000</v>
      </c>
      <c r="I2130" s="4" t="s">
        <v>687</v>
      </c>
      <c r="J2130" s="4" t="s">
        <v>688</v>
      </c>
      <c r="K2130" s="11">
        <v>0</v>
      </c>
      <c r="L2130" s="4"/>
      <c r="M2130" s="4"/>
      <c r="N2130" s="11">
        <v>0</v>
      </c>
      <c r="O2130" s="4"/>
      <c r="P2130" s="4"/>
      <c r="Q2130" s="11">
        <v>0</v>
      </c>
      <c r="R2130" s="4"/>
      <c r="S2130" s="12"/>
    </row>
    <row r="2131" spans="1:19" x14ac:dyDescent="0.25">
      <c r="A2131" s="9" t="s">
        <v>571</v>
      </c>
      <c r="B2131" s="9" t="s">
        <v>571</v>
      </c>
      <c r="C2131" s="4">
        <v>201001885</v>
      </c>
      <c r="D2131" s="4" t="s">
        <v>2205</v>
      </c>
      <c r="E2131" s="4" t="str">
        <f>"038352010"</f>
        <v>038352010</v>
      </c>
      <c r="F2131" s="10">
        <v>40227</v>
      </c>
      <c r="G2131" s="11">
        <v>14000</v>
      </c>
      <c r="H2131" s="11">
        <v>14000</v>
      </c>
      <c r="I2131" s="4" t="s">
        <v>366</v>
      </c>
      <c r="J2131" s="4" t="s">
        <v>367</v>
      </c>
      <c r="K2131" s="11">
        <v>0</v>
      </c>
      <c r="L2131" s="4"/>
      <c r="M2131" s="4"/>
      <c r="N2131" s="11">
        <v>0</v>
      </c>
      <c r="O2131" s="4"/>
      <c r="P2131" s="4"/>
      <c r="Q2131" s="11">
        <v>0</v>
      </c>
      <c r="R2131" s="4"/>
      <c r="S2131" s="12"/>
    </row>
    <row r="2132" spans="1:19" x14ac:dyDescent="0.25">
      <c r="A2132" s="9" t="s">
        <v>571</v>
      </c>
      <c r="B2132" s="9" t="s">
        <v>571</v>
      </c>
      <c r="C2132" s="4">
        <v>201001895</v>
      </c>
      <c r="D2132" s="4"/>
      <c r="E2132" s="4" t="str">
        <f>"037622010"</f>
        <v>037622010</v>
      </c>
      <c r="F2132" s="10">
        <v>40214</v>
      </c>
      <c r="G2132" s="11">
        <v>236264</v>
      </c>
      <c r="H2132" s="11">
        <v>236264</v>
      </c>
      <c r="I2132" s="4" t="s">
        <v>687</v>
      </c>
      <c r="J2132" s="4" t="s">
        <v>688</v>
      </c>
      <c r="K2132" s="11">
        <v>0</v>
      </c>
      <c r="L2132" s="4"/>
      <c r="M2132" s="4"/>
      <c r="N2132" s="11">
        <v>0</v>
      </c>
      <c r="O2132" s="4"/>
      <c r="P2132" s="4"/>
      <c r="Q2132" s="11">
        <v>0</v>
      </c>
      <c r="R2132" s="4"/>
      <c r="S2132" s="12"/>
    </row>
    <row r="2133" spans="1:19" x14ac:dyDescent="0.25">
      <c r="A2133" s="9" t="s">
        <v>571</v>
      </c>
      <c r="B2133" s="9" t="s">
        <v>571</v>
      </c>
      <c r="C2133" s="4">
        <v>201001915</v>
      </c>
      <c r="D2133" s="4"/>
      <c r="E2133" s="4" t="str">
        <f>"037322010"</f>
        <v>037322010</v>
      </c>
      <c r="F2133" s="10">
        <v>40214</v>
      </c>
      <c r="G2133" s="11">
        <v>30000</v>
      </c>
      <c r="H2133" s="11">
        <v>30000</v>
      </c>
      <c r="I2133" s="4" t="s">
        <v>687</v>
      </c>
      <c r="J2133" s="4" t="s">
        <v>688</v>
      </c>
      <c r="K2133" s="11">
        <v>0</v>
      </c>
      <c r="L2133" s="4"/>
      <c r="M2133" s="4"/>
      <c r="N2133" s="11">
        <v>0</v>
      </c>
      <c r="O2133" s="4"/>
      <c r="P2133" s="4"/>
      <c r="Q2133" s="11">
        <v>0</v>
      </c>
      <c r="R2133" s="4"/>
      <c r="S2133" s="12"/>
    </row>
    <row r="2134" spans="1:19" x14ac:dyDescent="0.25">
      <c r="A2134" s="9" t="s">
        <v>571</v>
      </c>
      <c r="B2134" s="9" t="s">
        <v>571</v>
      </c>
      <c r="C2134" s="4">
        <v>201001916</v>
      </c>
      <c r="D2134" s="4" t="s">
        <v>2206</v>
      </c>
      <c r="E2134" s="4" t="str">
        <f>"037302010"</f>
        <v>037302010</v>
      </c>
      <c r="F2134" s="10">
        <v>40214</v>
      </c>
      <c r="G2134" s="11">
        <v>5000</v>
      </c>
      <c r="H2134" s="11">
        <v>5000</v>
      </c>
      <c r="I2134" s="4" t="s">
        <v>931</v>
      </c>
      <c r="J2134" s="4" t="s">
        <v>932</v>
      </c>
      <c r="K2134" s="11">
        <v>0</v>
      </c>
      <c r="L2134" s="4"/>
      <c r="M2134" s="4"/>
      <c r="N2134" s="11">
        <v>0</v>
      </c>
      <c r="O2134" s="4"/>
      <c r="P2134" s="4"/>
      <c r="Q2134" s="11">
        <v>0</v>
      </c>
      <c r="R2134" s="4"/>
      <c r="S2134" s="12"/>
    </row>
    <row r="2135" spans="1:19" x14ac:dyDescent="0.25">
      <c r="A2135" s="9" t="s">
        <v>571</v>
      </c>
      <c r="B2135" s="9" t="s">
        <v>571</v>
      </c>
      <c r="C2135" s="4">
        <v>201001932</v>
      </c>
      <c r="D2135" s="4"/>
      <c r="E2135" s="4" t="str">
        <f>"038842010"</f>
        <v>038842010</v>
      </c>
      <c r="F2135" s="10">
        <v>40228</v>
      </c>
      <c r="G2135" s="11">
        <v>7422.89</v>
      </c>
      <c r="H2135" s="11">
        <v>7422.89</v>
      </c>
      <c r="I2135" s="4" t="s">
        <v>366</v>
      </c>
      <c r="J2135" s="4" t="s">
        <v>367</v>
      </c>
      <c r="K2135" s="11">
        <v>0</v>
      </c>
      <c r="L2135" s="4"/>
      <c r="M2135" s="4"/>
      <c r="N2135" s="11">
        <v>0</v>
      </c>
      <c r="O2135" s="4"/>
      <c r="P2135" s="4"/>
      <c r="Q2135" s="11">
        <v>0</v>
      </c>
      <c r="R2135" s="4"/>
      <c r="S2135" s="12"/>
    </row>
    <row r="2136" spans="1:19" x14ac:dyDescent="0.25">
      <c r="A2136" s="9" t="s">
        <v>571</v>
      </c>
      <c r="B2136" s="9" t="s">
        <v>571</v>
      </c>
      <c r="C2136" s="4">
        <v>201001933</v>
      </c>
      <c r="D2136" s="4"/>
      <c r="E2136" s="4" t="str">
        <f>"038412010"</f>
        <v>038412010</v>
      </c>
      <c r="F2136" s="10">
        <v>40227</v>
      </c>
      <c r="G2136" s="11">
        <v>6500</v>
      </c>
      <c r="H2136" s="11">
        <v>6500</v>
      </c>
      <c r="I2136" s="4" t="s">
        <v>687</v>
      </c>
      <c r="J2136" s="4" t="s">
        <v>688</v>
      </c>
      <c r="K2136" s="11">
        <v>0</v>
      </c>
      <c r="L2136" s="4"/>
      <c r="M2136" s="4"/>
      <c r="N2136" s="11">
        <v>0</v>
      </c>
      <c r="O2136" s="4"/>
      <c r="P2136" s="4"/>
      <c r="Q2136" s="11">
        <v>0</v>
      </c>
      <c r="R2136" s="4"/>
      <c r="S2136" s="12"/>
    </row>
    <row r="2137" spans="1:19" x14ac:dyDescent="0.25">
      <c r="A2137" s="9" t="s">
        <v>571</v>
      </c>
      <c r="B2137" s="9" t="s">
        <v>571</v>
      </c>
      <c r="C2137" s="4">
        <v>201001965</v>
      </c>
      <c r="D2137" s="4" t="s">
        <v>2207</v>
      </c>
      <c r="E2137" s="4" t="str">
        <f>"040702010"</f>
        <v>040702010</v>
      </c>
      <c r="F2137" s="10">
        <v>40234</v>
      </c>
      <c r="G2137" s="11">
        <v>13150</v>
      </c>
      <c r="H2137" s="11">
        <v>13150</v>
      </c>
      <c r="I2137" s="4" t="s">
        <v>366</v>
      </c>
      <c r="J2137" s="4" t="s">
        <v>367</v>
      </c>
      <c r="K2137" s="11">
        <v>0</v>
      </c>
      <c r="L2137" s="4"/>
      <c r="M2137" s="4"/>
      <c r="N2137" s="11">
        <v>0</v>
      </c>
      <c r="O2137" s="4"/>
      <c r="P2137" s="4"/>
      <c r="Q2137" s="11">
        <v>0</v>
      </c>
      <c r="R2137" s="4"/>
      <c r="S2137" s="12"/>
    </row>
    <row r="2138" spans="1:19" x14ac:dyDescent="0.25">
      <c r="A2138" s="9" t="s">
        <v>571</v>
      </c>
      <c r="B2138" s="9" t="s">
        <v>571</v>
      </c>
      <c r="C2138" s="4">
        <v>201001984</v>
      </c>
      <c r="D2138" s="4" t="s">
        <v>2208</v>
      </c>
      <c r="E2138" s="4" t="str">
        <f>"039582010"</f>
        <v>039582010</v>
      </c>
      <c r="F2138" s="10">
        <v>40232</v>
      </c>
      <c r="G2138" s="11">
        <v>55000</v>
      </c>
      <c r="H2138" s="11">
        <v>55000</v>
      </c>
      <c r="I2138" s="4" t="s">
        <v>54</v>
      </c>
      <c r="J2138" s="4" t="s">
        <v>55</v>
      </c>
      <c r="K2138" s="11">
        <v>0</v>
      </c>
      <c r="L2138" s="4"/>
      <c r="M2138" s="4"/>
      <c r="N2138" s="11">
        <v>0</v>
      </c>
      <c r="O2138" s="4"/>
      <c r="P2138" s="4"/>
      <c r="Q2138" s="11">
        <v>0</v>
      </c>
      <c r="R2138" s="4"/>
      <c r="S2138" s="12"/>
    </row>
    <row r="2139" spans="1:19" x14ac:dyDescent="0.25">
      <c r="A2139" s="9" t="s">
        <v>571</v>
      </c>
      <c r="B2139" s="9" t="s">
        <v>571</v>
      </c>
      <c r="C2139" s="4">
        <v>201001987</v>
      </c>
      <c r="D2139" s="4"/>
      <c r="E2139" s="4" t="str">
        <f>"039202010"</f>
        <v>039202010</v>
      </c>
      <c r="F2139" s="10">
        <v>40228</v>
      </c>
      <c r="G2139" s="11">
        <v>15000</v>
      </c>
      <c r="H2139" s="11">
        <v>15000</v>
      </c>
      <c r="I2139" s="4" t="s">
        <v>687</v>
      </c>
      <c r="J2139" s="4" t="s">
        <v>688</v>
      </c>
      <c r="K2139" s="11">
        <v>0</v>
      </c>
      <c r="L2139" s="4"/>
      <c r="M2139" s="4"/>
      <c r="N2139" s="11">
        <v>0</v>
      </c>
      <c r="O2139" s="4"/>
      <c r="P2139" s="4"/>
      <c r="Q2139" s="11">
        <v>0</v>
      </c>
      <c r="R2139" s="4"/>
      <c r="S2139" s="12"/>
    </row>
    <row r="2140" spans="1:19" x14ac:dyDescent="0.25">
      <c r="A2140" s="9" t="s">
        <v>571</v>
      </c>
      <c r="B2140" s="9" t="s">
        <v>571</v>
      </c>
      <c r="C2140" s="4">
        <v>201001990</v>
      </c>
      <c r="D2140" s="4" t="s">
        <v>2209</v>
      </c>
      <c r="E2140" s="4" t="str">
        <f>"039122010"</f>
        <v>039122010</v>
      </c>
      <c r="F2140" s="10">
        <v>40228</v>
      </c>
      <c r="G2140" s="11">
        <v>75000</v>
      </c>
      <c r="H2140" s="11">
        <v>75000</v>
      </c>
      <c r="I2140" s="4" t="s">
        <v>687</v>
      </c>
      <c r="J2140" s="4" t="s">
        <v>688</v>
      </c>
      <c r="K2140" s="11">
        <v>0</v>
      </c>
      <c r="L2140" s="4"/>
      <c r="M2140" s="4"/>
      <c r="N2140" s="11">
        <v>0</v>
      </c>
      <c r="O2140" s="4"/>
      <c r="P2140" s="4"/>
      <c r="Q2140" s="11">
        <v>0</v>
      </c>
      <c r="R2140" s="4"/>
      <c r="S2140" s="12"/>
    </row>
    <row r="2141" spans="1:19" x14ac:dyDescent="0.25">
      <c r="A2141" s="9" t="s">
        <v>571</v>
      </c>
      <c r="B2141" s="9" t="s">
        <v>571</v>
      </c>
      <c r="C2141" s="4">
        <v>201001991</v>
      </c>
      <c r="D2141" s="4"/>
      <c r="E2141" s="4" t="str">
        <f>"040042010"</f>
        <v>040042010</v>
      </c>
      <c r="F2141" s="10">
        <v>40232</v>
      </c>
      <c r="G2141" s="11">
        <v>150000</v>
      </c>
      <c r="H2141" s="11">
        <v>150000</v>
      </c>
      <c r="I2141" s="4" t="s">
        <v>687</v>
      </c>
      <c r="J2141" s="4" t="s">
        <v>688</v>
      </c>
      <c r="K2141" s="11">
        <v>0</v>
      </c>
      <c r="L2141" s="4"/>
      <c r="M2141" s="4"/>
      <c r="N2141" s="11">
        <v>0</v>
      </c>
      <c r="O2141" s="4"/>
      <c r="P2141" s="4"/>
      <c r="Q2141" s="11">
        <v>0</v>
      </c>
      <c r="R2141" s="4"/>
      <c r="S2141" s="12"/>
    </row>
    <row r="2142" spans="1:19" x14ac:dyDescent="0.25">
      <c r="A2142" s="9" t="s">
        <v>571</v>
      </c>
      <c r="B2142" s="9" t="s">
        <v>571</v>
      </c>
      <c r="C2142" s="4">
        <v>201002000</v>
      </c>
      <c r="D2142" s="4"/>
      <c r="E2142" s="4" t="str">
        <f>"042572010"</f>
        <v>042572010</v>
      </c>
      <c r="F2142" s="10">
        <v>40246</v>
      </c>
      <c r="G2142" s="11">
        <v>30000</v>
      </c>
      <c r="H2142" s="11">
        <v>30000</v>
      </c>
      <c r="I2142" s="4" t="s">
        <v>687</v>
      </c>
      <c r="J2142" s="4" t="s">
        <v>688</v>
      </c>
      <c r="K2142" s="11">
        <v>0</v>
      </c>
      <c r="L2142" s="4"/>
      <c r="M2142" s="4"/>
      <c r="N2142" s="11">
        <v>0</v>
      </c>
      <c r="O2142" s="4"/>
      <c r="P2142" s="4"/>
      <c r="Q2142" s="11">
        <v>0</v>
      </c>
      <c r="R2142" s="4"/>
      <c r="S2142" s="12"/>
    </row>
    <row r="2143" spans="1:19" x14ac:dyDescent="0.25">
      <c r="A2143" s="9" t="s">
        <v>571</v>
      </c>
      <c r="B2143" s="9" t="s">
        <v>571</v>
      </c>
      <c r="C2143" s="4">
        <v>201002003</v>
      </c>
      <c r="D2143" s="4"/>
      <c r="E2143" s="4" t="str">
        <f>"044642010"</f>
        <v>044642010</v>
      </c>
      <c r="F2143" s="10">
        <v>40245</v>
      </c>
      <c r="G2143" s="11">
        <v>6441.19</v>
      </c>
      <c r="H2143" s="11">
        <v>6441.19</v>
      </c>
      <c r="I2143" s="4" t="s">
        <v>366</v>
      </c>
      <c r="J2143" s="4" t="s">
        <v>367</v>
      </c>
      <c r="K2143" s="11">
        <v>0</v>
      </c>
      <c r="L2143" s="4"/>
      <c r="M2143" s="4"/>
      <c r="N2143" s="11">
        <v>0</v>
      </c>
      <c r="O2143" s="4"/>
      <c r="P2143" s="4"/>
      <c r="Q2143" s="11">
        <v>0</v>
      </c>
      <c r="R2143" s="4"/>
      <c r="S2143" s="12"/>
    </row>
    <row r="2144" spans="1:19" x14ac:dyDescent="0.25">
      <c r="A2144" s="9" t="s">
        <v>571</v>
      </c>
      <c r="B2144" s="9" t="s">
        <v>571</v>
      </c>
      <c r="C2144" s="4">
        <v>201002006</v>
      </c>
      <c r="D2144" s="4"/>
      <c r="E2144" s="4" t="str">
        <f>"039282010"</f>
        <v>039282010</v>
      </c>
      <c r="F2144" s="10">
        <v>40228</v>
      </c>
      <c r="G2144" s="11">
        <v>2548.6999999999998</v>
      </c>
      <c r="H2144" s="11">
        <v>2548.6999999999998</v>
      </c>
      <c r="I2144" s="4" t="s">
        <v>366</v>
      </c>
      <c r="J2144" s="4" t="s">
        <v>367</v>
      </c>
      <c r="K2144" s="11">
        <v>0</v>
      </c>
      <c r="L2144" s="4"/>
      <c r="M2144" s="4"/>
      <c r="N2144" s="11">
        <v>0</v>
      </c>
      <c r="O2144" s="4"/>
      <c r="P2144" s="4"/>
      <c r="Q2144" s="11">
        <v>0</v>
      </c>
      <c r="R2144" s="4"/>
      <c r="S2144" s="12"/>
    </row>
    <row r="2145" spans="1:19" x14ac:dyDescent="0.25">
      <c r="A2145" s="9" t="s">
        <v>571</v>
      </c>
      <c r="B2145" s="9" t="s">
        <v>571</v>
      </c>
      <c r="C2145" s="4">
        <v>201002017</v>
      </c>
      <c r="D2145" s="4"/>
      <c r="E2145" s="4" t="str">
        <f>"039382010"</f>
        <v>039382010</v>
      </c>
      <c r="F2145" s="10">
        <v>40232</v>
      </c>
      <c r="G2145" s="11">
        <v>4063.48</v>
      </c>
      <c r="H2145" s="11">
        <v>4063.48</v>
      </c>
      <c r="I2145" s="4" t="s">
        <v>687</v>
      </c>
      <c r="J2145" s="4" t="s">
        <v>688</v>
      </c>
      <c r="K2145" s="11">
        <v>0</v>
      </c>
      <c r="L2145" s="4"/>
      <c r="M2145" s="4"/>
      <c r="N2145" s="11">
        <v>0</v>
      </c>
      <c r="O2145" s="4"/>
      <c r="P2145" s="4"/>
      <c r="Q2145" s="11">
        <v>0</v>
      </c>
      <c r="R2145" s="4"/>
      <c r="S2145" s="12"/>
    </row>
    <row r="2146" spans="1:19" x14ac:dyDescent="0.25">
      <c r="A2146" s="9" t="s">
        <v>571</v>
      </c>
      <c r="B2146" s="9" t="s">
        <v>571</v>
      </c>
      <c r="C2146" s="4">
        <v>201002019</v>
      </c>
      <c r="D2146" s="4" t="s">
        <v>2210</v>
      </c>
      <c r="E2146" s="4" t="str">
        <f>"041562010"</f>
        <v>041562010</v>
      </c>
      <c r="F2146" s="10">
        <v>40241</v>
      </c>
      <c r="G2146" s="11">
        <v>22000</v>
      </c>
      <c r="H2146" s="11">
        <v>22000</v>
      </c>
      <c r="I2146" s="4" t="s">
        <v>366</v>
      </c>
      <c r="J2146" s="4" t="s">
        <v>367</v>
      </c>
      <c r="K2146" s="11">
        <v>0</v>
      </c>
      <c r="L2146" s="4"/>
      <c r="M2146" s="4"/>
      <c r="N2146" s="11">
        <v>0</v>
      </c>
      <c r="O2146" s="4"/>
      <c r="P2146" s="4"/>
      <c r="Q2146" s="11">
        <v>0</v>
      </c>
      <c r="R2146" s="4"/>
      <c r="S2146" s="12"/>
    </row>
    <row r="2147" spans="1:19" x14ac:dyDescent="0.25">
      <c r="A2147" s="9" t="s">
        <v>571</v>
      </c>
      <c r="B2147" s="9" t="s">
        <v>571</v>
      </c>
      <c r="C2147" s="4">
        <v>201002023</v>
      </c>
      <c r="D2147" s="4" t="s">
        <v>2211</v>
      </c>
      <c r="E2147" s="4" t="str">
        <f>"040142010"</f>
        <v>040142010</v>
      </c>
      <c r="F2147" s="10">
        <v>40232</v>
      </c>
      <c r="G2147" s="11">
        <v>18250</v>
      </c>
      <c r="H2147" s="11">
        <v>18250</v>
      </c>
      <c r="I2147" s="4" t="s">
        <v>366</v>
      </c>
      <c r="J2147" s="4" t="s">
        <v>367</v>
      </c>
      <c r="K2147" s="11">
        <v>0</v>
      </c>
      <c r="L2147" s="4"/>
      <c r="M2147" s="4"/>
      <c r="N2147" s="11">
        <v>0</v>
      </c>
      <c r="O2147" s="4"/>
      <c r="P2147" s="4"/>
      <c r="Q2147" s="11">
        <v>0</v>
      </c>
      <c r="R2147" s="4"/>
      <c r="S2147" s="12"/>
    </row>
    <row r="2148" spans="1:19" x14ac:dyDescent="0.25">
      <c r="A2148" s="9" t="s">
        <v>571</v>
      </c>
      <c r="B2148" s="9" t="s">
        <v>571</v>
      </c>
      <c r="C2148" s="4">
        <v>201002031</v>
      </c>
      <c r="D2148" s="4" t="s">
        <v>2212</v>
      </c>
      <c r="E2148" s="4" t="str">
        <f>"044982010"</f>
        <v>044982010</v>
      </c>
      <c r="F2148" s="10">
        <v>40246</v>
      </c>
      <c r="G2148" s="11">
        <v>76339.23</v>
      </c>
      <c r="H2148" s="11">
        <v>76339.23</v>
      </c>
      <c r="I2148" s="4" t="s">
        <v>687</v>
      </c>
      <c r="J2148" s="4" t="s">
        <v>688</v>
      </c>
      <c r="K2148" s="11">
        <v>0</v>
      </c>
      <c r="L2148" s="4"/>
      <c r="M2148" s="4"/>
      <c r="N2148" s="11">
        <v>0</v>
      </c>
      <c r="O2148" s="4"/>
      <c r="P2148" s="4"/>
      <c r="Q2148" s="11">
        <v>0</v>
      </c>
      <c r="R2148" s="4"/>
      <c r="S2148" s="12"/>
    </row>
    <row r="2149" spans="1:19" x14ac:dyDescent="0.25">
      <c r="A2149" s="9" t="s">
        <v>571</v>
      </c>
      <c r="B2149" s="9" t="s">
        <v>571</v>
      </c>
      <c r="C2149" s="4">
        <v>201002031</v>
      </c>
      <c r="D2149" s="4" t="s">
        <v>2212</v>
      </c>
      <c r="E2149" s="4" t="str">
        <f>"045002010"</f>
        <v>045002010</v>
      </c>
      <c r="F2149" s="10">
        <v>40246</v>
      </c>
      <c r="G2149" s="11">
        <v>300000</v>
      </c>
      <c r="H2149" s="11">
        <v>300000</v>
      </c>
      <c r="I2149" s="4" t="s">
        <v>687</v>
      </c>
      <c r="J2149" s="4" t="s">
        <v>688</v>
      </c>
      <c r="K2149" s="11">
        <v>0</v>
      </c>
      <c r="L2149" s="4"/>
      <c r="M2149" s="4"/>
      <c r="N2149" s="11">
        <v>0</v>
      </c>
      <c r="O2149" s="4"/>
      <c r="P2149" s="4"/>
      <c r="Q2149" s="11">
        <v>0</v>
      </c>
      <c r="R2149" s="4"/>
      <c r="S2149" s="12"/>
    </row>
    <row r="2150" spans="1:19" x14ac:dyDescent="0.25">
      <c r="A2150" s="9" t="s">
        <v>571</v>
      </c>
      <c r="B2150" s="9" t="s">
        <v>571</v>
      </c>
      <c r="C2150" s="4">
        <v>201002036</v>
      </c>
      <c r="D2150" s="4" t="s">
        <v>2213</v>
      </c>
      <c r="E2150" s="4" t="str">
        <f>"043112010"</f>
        <v>043112010</v>
      </c>
      <c r="F2150" s="10">
        <v>40240</v>
      </c>
      <c r="G2150" s="11">
        <v>219000</v>
      </c>
      <c r="H2150" s="11">
        <v>219000</v>
      </c>
      <c r="I2150" s="4" t="s">
        <v>687</v>
      </c>
      <c r="J2150" s="4" t="s">
        <v>688</v>
      </c>
      <c r="K2150" s="11">
        <v>0</v>
      </c>
      <c r="L2150" s="4"/>
      <c r="M2150" s="4"/>
      <c r="N2150" s="11">
        <v>0</v>
      </c>
      <c r="O2150" s="4"/>
      <c r="P2150" s="4"/>
      <c r="Q2150" s="11">
        <v>0</v>
      </c>
      <c r="R2150" s="4"/>
      <c r="S2150" s="12"/>
    </row>
    <row r="2151" spans="1:19" x14ac:dyDescent="0.25">
      <c r="A2151" s="9" t="s">
        <v>571</v>
      </c>
      <c r="B2151" s="9" t="s">
        <v>571</v>
      </c>
      <c r="C2151" s="4">
        <v>201002062</v>
      </c>
      <c r="D2151" s="4"/>
      <c r="E2151" s="4" t="str">
        <f>"041202010"</f>
        <v>041202010</v>
      </c>
      <c r="F2151" s="10">
        <v>40234</v>
      </c>
      <c r="G2151" s="11">
        <v>5700</v>
      </c>
      <c r="H2151" s="11">
        <v>5700</v>
      </c>
      <c r="I2151" s="4" t="s">
        <v>54</v>
      </c>
      <c r="J2151" s="4" t="s">
        <v>55</v>
      </c>
      <c r="K2151" s="11">
        <v>0</v>
      </c>
      <c r="L2151" s="4"/>
      <c r="M2151" s="4"/>
      <c r="N2151" s="11">
        <v>0</v>
      </c>
      <c r="O2151" s="4"/>
      <c r="P2151" s="4"/>
      <c r="Q2151" s="11">
        <v>0</v>
      </c>
      <c r="R2151" s="4"/>
      <c r="S2151" s="12"/>
    </row>
    <row r="2152" spans="1:19" x14ac:dyDescent="0.25">
      <c r="A2152" s="9" t="s">
        <v>571</v>
      </c>
      <c r="B2152" s="9" t="s">
        <v>571</v>
      </c>
      <c r="C2152" s="4">
        <v>201002068</v>
      </c>
      <c r="D2152" s="4"/>
      <c r="E2152" s="4" t="str">
        <f>"042032010"</f>
        <v>042032010</v>
      </c>
      <c r="F2152" s="10">
        <v>40240</v>
      </c>
      <c r="G2152" s="11">
        <v>3997.56</v>
      </c>
      <c r="H2152" s="11">
        <v>3997.56</v>
      </c>
      <c r="I2152" s="4" t="s">
        <v>366</v>
      </c>
      <c r="J2152" s="4" t="s">
        <v>367</v>
      </c>
      <c r="K2152" s="11">
        <v>0</v>
      </c>
      <c r="L2152" s="4"/>
      <c r="M2152" s="4"/>
      <c r="N2152" s="11">
        <v>0</v>
      </c>
      <c r="O2152" s="4"/>
      <c r="P2152" s="4"/>
      <c r="Q2152" s="11">
        <v>0</v>
      </c>
      <c r="R2152" s="4"/>
      <c r="S2152" s="12"/>
    </row>
    <row r="2153" spans="1:19" x14ac:dyDescent="0.25">
      <c r="A2153" s="9" t="s">
        <v>571</v>
      </c>
      <c r="B2153" s="9" t="s">
        <v>571</v>
      </c>
      <c r="C2153" s="4">
        <v>201002074</v>
      </c>
      <c r="D2153" s="4"/>
      <c r="E2153" s="4" t="str">
        <f>"040582010"</f>
        <v>040582010</v>
      </c>
      <c r="F2153" s="10">
        <v>40233</v>
      </c>
      <c r="G2153" s="11">
        <v>100000</v>
      </c>
      <c r="H2153" s="11">
        <v>100000</v>
      </c>
      <c r="I2153" s="4" t="s">
        <v>687</v>
      </c>
      <c r="J2153" s="4" t="s">
        <v>688</v>
      </c>
      <c r="K2153" s="11">
        <v>0</v>
      </c>
      <c r="L2153" s="4"/>
      <c r="M2153" s="4"/>
      <c r="N2153" s="11">
        <v>0</v>
      </c>
      <c r="O2153" s="4"/>
      <c r="P2153" s="4"/>
      <c r="Q2153" s="11">
        <v>0</v>
      </c>
      <c r="R2153" s="4"/>
      <c r="S2153" s="12"/>
    </row>
    <row r="2154" spans="1:19" x14ac:dyDescent="0.25">
      <c r="A2154" s="9" t="s">
        <v>571</v>
      </c>
      <c r="B2154" s="9" t="s">
        <v>571</v>
      </c>
      <c r="C2154" s="4">
        <v>201002096</v>
      </c>
      <c r="D2154" s="4"/>
      <c r="E2154" s="4" t="str">
        <f>"043252010"</f>
        <v>043252010</v>
      </c>
      <c r="F2154" s="10">
        <v>40241</v>
      </c>
      <c r="G2154" s="11">
        <v>60000</v>
      </c>
      <c r="H2154" s="11">
        <v>60000</v>
      </c>
      <c r="I2154" s="4" t="s">
        <v>687</v>
      </c>
      <c r="J2154" s="4" t="s">
        <v>688</v>
      </c>
      <c r="K2154" s="11">
        <v>0</v>
      </c>
      <c r="L2154" s="4"/>
      <c r="M2154" s="4"/>
      <c r="N2154" s="11">
        <v>0</v>
      </c>
      <c r="O2154" s="4"/>
      <c r="P2154" s="4"/>
      <c r="Q2154" s="11">
        <v>0</v>
      </c>
      <c r="R2154" s="4"/>
      <c r="S2154" s="12"/>
    </row>
    <row r="2155" spans="1:19" x14ac:dyDescent="0.25">
      <c r="A2155" s="9" t="s">
        <v>571</v>
      </c>
      <c r="B2155" s="9" t="s">
        <v>571</v>
      </c>
      <c r="C2155" s="4">
        <v>201002119</v>
      </c>
      <c r="D2155" s="4" t="s">
        <v>2214</v>
      </c>
      <c r="E2155" s="4" t="str">
        <f>"041812010"</f>
        <v>041812010</v>
      </c>
      <c r="F2155" s="10">
        <v>40240</v>
      </c>
      <c r="G2155" s="11">
        <v>25712</v>
      </c>
      <c r="H2155" s="11">
        <v>25712</v>
      </c>
      <c r="I2155" s="4" t="s">
        <v>54</v>
      </c>
      <c r="J2155" s="4" t="s">
        <v>55</v>
      </c>
      <c r="K2155" s="11">
        <v>0</v>
      </c>
      <c r="L2155" s="4"/>
      <c r="M2155" s="4"/>
      <c r="N2155" s="11">
        <v>0</v>
      </c>
      <c r="O2155" s="4"/>
      <c r="P2155" s="4"/>
      <c r="Q2155" s="11">
        <v>0</v>
      </c>
      <c r="R2155" s="4"/>
      <c r="S2155" s="12"/>
    </row>
    <row r="2156" spans="1:19" x14ac:dyDescent="0.25">
      <c r="A2156" s="9" t="s">
        <v>571</v>
      </c>
      <c r="B2156" s="9" t="s">
        <v>571</v>
      </c>
      <c r="C2156" s="4">
        <v>201002137</v>
      </c>
      <c r="D2156" s="4" t="s">
        <v>2215</v>
      </c>
      <c r="E2156" s="4" t="str">
        <f>"041602010"</f>
        <v>041602010</v>
      </c>
      <c r="F2156" s="10">
        <v>40240</v>
      </c>
      <c r="G2156" s="11">
        <v>150000</v>
      </c>
      <c r="H2156" s="11">
        <v>150000</v>
      </c>
      <c r="I2156" s="4" t="s">
        <v>687</v>
      </c>
      <c r="J2156" s="4" t="s">
        <v>688</v>
      </c>
      <c r="K2156" s="11">
        <v>0</v>
      </c>
      <c r="L2156" s="4"/>
      <c r="M2156" s="4"/>
      <c r="N2156" s="11">
        <v>0</v>
      </c>
      <c r="O2156" s="4"/>
      <c r="P2156" s="4"/>
      <c r="Q2156" s="11">
        <v>0</v>
      </c>
      <c r="R2156" s="4"/>
      <c r="S2156" s="12"/>
    </row>
    <row r="2157" spans="1:19" x14ac:dyDescent="0.25">
      <c r="A2157" s="9" t="s">
        <v>571</v>
      </c>
      <c r="B2157" s="9" t="s">
        <v>571</v>
      </c>
      <c r="C2157" s="4">
        <v>201002145</v>
      </c>
      <c r="D2157" s="4"/>
      <c r="E2157" s="4" t="str">
        <f>"042152010"</f>
        <v>042152010</v>
      </c>
      <c r="F2157" s="10">
        <v>40240</v>
      </c>
      <c r="G2157" s="11">
        <v>4000</v>
      </c>
      <c r="H2157" s="11">
        <v>4000</v>
      </c>
      <c r="I2157" s="4" t="s">
        <v>54</v>
      </c>
      <c r="J2157" s="4" t="s">
        <v>55</v>
      </c>
      <c r="K2157" s="11">
        <v>0</v>
      </c>
      <c r="L2157" s="4"/>
      <c r="M2157" s="4"/>
      <c r="N2157" s="11">
        <v>0</v>
      </c>
      <c r="O2157" s="4"/>
      <c r="P2157" s="4"/>
      <c r="Q2157" s="11">
        <v>0</v>
      </c>
      <c r="R2157" s="4"/>
      <c r="S2157" s="12"/>
    </row>
    <row r="2158" spans="1:19" x14ac:dyDescent="0.25">
      <c r="A2158" s="9" t="s">
        <v>571</v>
      </c>
      <c r="B2158" s="9" t="s">
        <v>571</v>
      </c>
      <c r="C2158" s="4">
        <v>201002159</v>
      </c>
      <c r="D2158" s="4" t="s">
        <v>2216</v>
      </c>
      <c r="E2158" s="4" t="str">
        <f>"042712010"</f>
        <v>042712010</v>
      </c>
      <c r="F2158" s="10">
        <v>40246</v>
      </c>
      <c r="G2158" s="11">
        <v>40000</v>
      </c>
      <c r="H2158" s="11">
        <v>40000</v>
      </c>
      <c r="I2158" s="4" t="s">
        <v>54</v>
      </c>
      <c r="J2158" s="4" t="s">
        <v>55</v>
      </c>
      <c r="K2158" s="11">
        <v>0</v>
      </c>
      <c r="L2158" s="4"/>
      <c r="M2158" s="4"/>
      <c r="N2158" s="11">
        <v>0</v>
      </c>
      <c r="O2158" s="4"/>
      <c r="P2158" s="4"/>
      <c r="Q2158" s="11">
        <v>0</v>
      </c>
      <c r="R2158" s="4"/>
      <c r="S2158" s="12"/>
    </row>
    <row r="2159" spans="1:19" x14ac:dyDescent="0.25">
      <c r="A2159" s="9" t="s">
        <v>571</v>
      </c>
      <c r="B2159" s="9" t="s">
        <v>571</v>
      </c>
      <c r="C2159" s="4">
        <v>201002185</v>
      </c>
      <c r="D2159" s="4"/>
      <c r="E2159" s="4" t="str">
        <f>"043792010"</f>
        <v>043792010</v>
      </c>
      <c r="F2159" s="10">
        <v>40245</v>
      </c>
      <c r="G2159" s="11">
        <v>3100</v>
      </c>
      <c r="H2159" s="11">
        <v>3100</v>
      </c>
      <c r="I2159" s="4" t="s">
        <v>366</v>
      </c>
      <c r="J2159" s="4" t="s">
        <v>367</v>
      </c>
      <c r="K2159" s="11">
        <v>0</v>
      </c>
      <c r="L2159" s="4"/>
      <c r="M2159" s="4"/>
      <c r="N2159" s="11">
        <v>0</v>
      </c>
      <c r="O2159" s="4"/>
      <c r="P2159" s="4"/>
      <c r="Q2159" s="11">
        <v>0</v>
      </c>
      <c r="R2159" s="4"/>
      <c r="S2159" s="12"/>
    </row>
    <row r="2160" spans="1:19" x14ac:dyDescent="0.25">
      <c r="A2160" s="9" t="s">
        <v>571</v>
      </c>
      <c r="B2160" s="9" t="s">
        <v>571</v>
      </c>
      <c r="C2160" s="4">
        <v>201002196</v>
      </c>
      <c r="D2160" s="4"/>
      <c r="E2160" s="4" t="str">
        <f>"044942010"</f>
        <v>044942010</v>
      </c>
      <c r="F2160" s="10">
        <v>40245</v>
      </c>
      <c r="G2160" s="11">
        <v>72500</v>
      </c>
      <c r="H2160" s="11">
        <v>72500</v>
      </c>
      <c r="I2160" s="4" t="s">
        <v>687</v>
      </c>
      <c r="J2160" s="4" t="s">
        <v>688</v>
      </c>
      <c r="K2160" s="11">
        <v>0</v>
      </c>
      <c r="L2160" s="4"/>
      <c r="M2160" s="4"/>
      <c r="N2160" s="11">
        <v>0</v>
      </c>
      <c r="O2160" s="4"/>
      <c r="P2160" s="4"/>
      <c r="Q2160" s="11">
        <v>0</v>
      </c>
      <c r="R2160" s="4"/>
      <c r="S2160" s="12"/>
    </row>
    <row r="2161" spans="1:19" x14ac:dyDescent="0.25">
      <c r="A2161" s="9" t="s">
        <v>571</v>
      </c>
      <c r="B2161" s="9" t="s">
        <v>571</v>
      </c>
      <c r="C2161" s="4">
        <v>201002246</v>
      </c>
      <c r="D2161" s="4" t="s">
        <v>2217</v>
      </c>
      <c r="E2161" s="4" t="str">
        <f>"044162010"</f>
        <v>044162010</v>
      </c>
      <c r="F2161" s="10">
        <v>40245</v>
      </c>
      <c r="G2161" s="11">
        <v>10000</v>
      </c>
      <c r="H2161" s="11">
        <v>10000</v>
      </c>
      <c r="I2161" s="4" t="s">
        <v>54</v>
      </c>
      <c r="J2161" s="4" t="s">
        <v>55</v>
      </c>
      <c r="K2161" s="11">
        <v>0</v>
      </c>
      <c r="L2161" s="4"/>
      <c r="M2161" s="4"/>
      <c r="N2161" s="11">
        <v>0</v>
      </c>
      <c r="O2161" s="4"/>
      <c r="P2161" s="4"/>
      <c r="Q2161" s="11">
        <v>0</v>
      </c>
      <c r="R2161" s="4"/>
      <c r="S2161" s="12"/>
    </row>
    <row r="2162" spans="1:19" x14ac:dyDescent="0.25">
      <c r="A2162" s="9" t="s">
        <v>571</v>
      </c>
      <c r="B2162" s="9" t="s">
        <v>571</v>
      </c>
      <c r="C2162" s="4">
        <v>201002265</v>
      </c>
      <c r="D2162" s="4"/>
      <c r="E2162" s="4" t="str">
        <f>"045762010"</f>
        <v>045762010</v>
      </c>
      <c r="F2162" s="10">
        <v>40248</v>
      </c>
      <c r="G2162" s="11">
        <v>2901.41</v>
      </c>
      <c r="H2162" s="11">
        <v>2901.41</v>
      </c>
      <c r="I2162" s="4" t="s">
        <v>366</v>
      </c>
      <c r="J2162" s="4" t="s">
        <v>367</v>
      </c>
      <c r="K2162" s="11">
        <v>0</v>
      </c>
      <c r="L2162" s="4"/>
      <c r="M2162" s="4"/>
      <c r="N2162" s="11">
        <v>0</v>
      </c>
      <c r="O2162" s="4"/>
      <c r="P2162" s="4"/>
      <c r="Q2162" s="11">
        <v>0</v>
      </c>
      <c r="R2162" s="4"/>
      <c r="S2162" s="12"/>
    </row>
    <row r="2163" spans="1:19" x14ac:dyDescent="0.25">
      <c r="A2163" s="9" t="s">
        <v>571</v>
      </c>
      <c r="B2163" s="9" t="s">
        <v>571</v>
      </c>
      <c r="C2163" s="4">
        <v>201002273</v>
      </c>
      <c r="D2163" s="4" t="s">
        <v>2218</v>
      </c>
      <c r="E2163" s="4" t="str">
        <f>"046882010"</f>
        <v>046882010</v>
      </c>
      <c r="F2163" s="10">
        <v>40252</v>
      </c>
      <c r="G2163" s="11">
        <v>90000</v>
      </c>
      <c r="H2163" s="11">
        <v>90000</v>
      </c>
      <c r="I2163" s="4" t="s">
        <v>366</v>
      </c>
      <c r="J2163" s="4" t="s">
        <v>367</v>
      </c>
      <c r="K2163" s="11">
        <v>0</v>
      </c>
      <c r="L2163" s="4"/>
      <c r="M2163" s="4"/>
      <c r="N2163" s="11">
        <v>0</v>
      </c>
      <c r="O2163" s="4"/>
      <c r="P2163" s="4"/>
      <c r="Q2163" s="11">
        <v>0</v>
      </c>
      <c r="R2163" s="4"/>
      <c r="S2163" s="12"/>
    </row>
    <row r="2164" spans="1:19" x14ac:dyDescent="0.25">
      <c r="A2164" s="9" t="s">
        <v>571</v>
      </c>
      <c r="B2164" s="9" t="s">
        <v>571</v>
      </c>
      <c r="C2164" s="4">
        <v>201002284</v>
      </c>
      <c r="D2164" s="4"/>
      <c r="E2164" s="4" t="str">
        <f>"044682010"</f>
        <v>044682010</v>
      </c>
      <c r="F2164" s="10">
        <v>40245</v>
      </c>
      <c r="G2164" s="11">
        <v>5000</v>
      </c>
      <c r="H2164" s="11">
        <v>5000</v>
      </c>
      <c r="I2164" s="4" t="s">
        <v>687</v>
      </c>
      <c r="J2164" s="4" t="s">
        <v>688</v>
      </c>
      <c r="K2164" s="11">
        <v>0</v>
      </c>
      <c r="L2164" s="4"/>
      <c r="M2164" s="4"/>
      <c r="N2164" s="11">
        <v>0</v>
      </c>
      <c r="O2164" s="4"/>
      <c r="P2164" s="4"/>
      <c r="Q2164" s="11">
        <v>0</v>
      </c>
      <c r="R2164" s="4"/>
      <c r="S2164" s="12"/>
    </row>
    <row r="2165" spans="1:19" x14ac:dyDescent="0.25">
      <c r="A2165" s="9" t="s">
        <v>571</v>
      </c>
      <c r="B2165" s="9" t="s">
        <v>571</v>
      </c>
      <c r="C2165" s="4">
        <v>201002287</v>
      </c>
      <c r="D2165" s="4" t="s">
        <v>2219</v>
      </c>
      <c r="E2165" s="4" t="str">
        <f>"044842010"</f>
        <v>044842010</v>
      </c>
      <c r="F2165" s="10">
        <v>40245</v>
      </c>
      <c r="G2165" s="11">
        <v>20000</v>
      </c>
      <c r="H2165" s="11">
        <v>20000</v>
      </c>
      <c r="I2165" s="4" t="s">
        <v>54</v>
      </c>
      <c r="J2165" s="4" t="s">
        <v>55</v>
      </c>
      <c r="K2165" s="11">
        <v>0</v>
      </c>
      <c r="L2165" s="4"/>
      <c r="M2165" s="4"/>
      <c r="N2165" s="11">
        <v>0</v>
      </c>
      <c r="O2165" s="4"/>
      <c r="P2165" s="4"/>
      <c r="Q2165" s="11">
        <v>0</v>
      </c>
      <c r="R2165" s="4"/>
      <c r="S2165" s="12"/>
    </row>
    <row r="2166" spans="1:19" x14ac:dyDescent="0.25">
      <c r="A2166" s="9" t="s">
        <v>571</v>
      </c>
      <c r="B2166" s="9" t="s">
        <v>571</v>
      </c>
      <c r="C2166" s="4">
        <v>201002288</v>
      </c>
      <c r="D2166" s="4"/>
      <c r="E2166" s="4" t="str">
        <f>"044582010"</f>
        <v>044582010</v>
      </c>
      <c r="F2166" s="10">
        <v>40245</v>
      </c>
      <c r="G2166" s="11">
        <v>7500</v>
      </c>
      <c r="H2166" s="11">
        <v>7500</v>
      </c>
      <c r="I2166" s="4" t="s">
        <v>931</v>
      </c>
      <c r="J2166" s="4" t="s">
        <v>932</v>
      </c>
      <c r="K2166" s="11">
        <v>0</v>
      </c>
      <c r="L2166" s="4"/>
      <c r="M2166" s="4"/>
      <c r="N2166" s="11">
        <v>0</v>
      </c>
      <c r="O2166" s="4"/>
      <c r="P2166" s="4"/>
      <c r="Q2166" s="11">
        <v>0</v>
      </c>
      <c r="R2166" s="4"/>
      <c r="S2166" s="12"/>
    </row>
    <row r="2167" spans="1:19" x14ac:dyDescent="0.25">
      <c r="A2167" s="9" t="s">
        <v>571</v>
      </c>
      <c r="B2167" s="9" t="s">
        <v>571</v>
      </c>
      <c r="C2167" s="4">
        <v>201002289</v>
      </c>
      <c r="D2167" s="4" t="s">
        <v>2220</v>
      </c>
      <c r="E2167" s="4" t="str">
        <f>"044602010"</f>
        <v>044602010</v>
      </c>
      <c r="F2167" s="10">
        <v>40245</v>
      </c>
      <c r="G2167" s="11">
        <v>10000</v>
      </c>
      <c r="H2167" s="11">
        <v>10000</v>
      </c>
      <c r="I2167" s="4" t="s">
        <v>54</v>
      </c>
      <c r="J2167" s="4" t="s">
        <v>55</v>
      </c>
      <c r="K2167" s="11">
        <v>0</v>
      </c>
      <c r="L2167" s="4"/>
      <c r="M2167" s="4"/>
      <c r="N2167" s="11">
        <v>0</v>
      </c>
      <c r="O2167" s="4"/>
      <c r="P2167" s="4"/>
      <c r="Q2167" s="11">
        <v>0</v>
      </c>
      <c r="R2167" s="4"/>
      <c r="S2167" s="12"/>
    </row>
    <row r="2168" spans="1:19" x14ac:dyDescent="0.25">
      <c r="A2168" s="9" t="s">
        <v>571</v>
      </c>
      <c r="B2168" s="9" t="s">
        <v>571</v>
      </c>
      <c r="C2168" s="4">
        <v>201002290</v>
      </c>
      <c r="D2168" s="4" t="s">
        <v>2221</v>
      </c>
      <c r="E2168" s="4" t="str">
        <f>"044822010"</f>
        <v>044822010</v>
      </c>
      <c r="F2168" s="10">
        <v>40245</v>
      </c>
      <c r="G2168" s="11">
        <v>30000</v>
      </c>
      <c r="H2168" s="11">
        <v>30000</v>
      </c>
      <c r="I2168" s="4" t="s">
        <v>54</v>
      </c>
      <c r="J2168" s="4" t="s">
        <v>55</v>
      </c>
      <c r="K2168" s="11">
        <v>0</v>
      </c>
      <c r="L2168" s="4"/>
      <c r="M2168" s="4"/>
      <c r="N2168" s="11">
        <v>0</v>
      </c>
      <c r="O2168" s="4"/>
      <c r="P2168" s="4"/>
      <c r="Q2168" s="11">
        <v>0</v>
      </c>
      <c r="R2168" s="4"/>
      <c r="S2168" s="12"/>
    </row>
    <row r="2169" spans="1:19" x14ac:dyDescent="0.25">
      <c r="A2169" s="9" t="s">
        <v>571</v>
      </c>
      <c r="B2169" s="9" t="s">
        <v>571</v>
      </c>
      <c r="C2169" s="4">
        <v>201002292</v>
      </c>
      <c r="D2169" s="4" t="s">
        <v>2222</v>
      </c>
      <c r="E2169" s="4" t="str">
        <f>"063872010"</f>
        <v>063872010</v>
      </c>
      <c r="F2169" s="10">
        <v>40302</v>
      </c>
      <c r="G2169" s="11">
        <v>130000</v>
      </c>
      <c r="H2169" s="11">
        <v>130000</v>
      </c>
      <c r="I2169" s="4" t="s">
        <v>54</v>
      </c>
      <c r="J2169" s="4" t="s">
        <v>55</v>
      </c>
      <c r="K2169" s="11">
        <v>0</v>
      </c>
      <c r="L2169" s="4"/>
      <c r="M2169" s="4"/>
      <c r="N2169" s="11">
        <v>0</v>
      </c>
      <c r="O2169" s="4"/>
      <c r="P2169" s="4"/>
      <c r="Q2169" s="11">
        <v>0</v>
      </c>
      <c r="R2169" s="4"/>
      <c r="S2169" s="12"/>
    </row>
    <row r="2170" spans="1:19" x14ac:dyDescent="0.25">
      <c r="A2170" s="9" t="s">
        <v>571</v>
      </c>
      <c r="B2170" s="9" t="s">
        <v>571</v>
      </c>
      <c r="C2170" s="4">
        <v>201002342</v>
      </c>
      <c r="D2170" s="4" t="s">
        <v>2223</v>
      </c>
      <c r="E2170" s="4" t="str">
        <f>"046142010"</f>
        <v>046142010</v>
      </c>
      <c r="F2170" s="10">
        <v>40249</v>
      </c>
      <c r="G2170" s="11">
        <v>89500</v>
      </c>
      <c r="H2170" s="11">
        <v>89500</v>
      </c>
      <c r="I2170" s="4" t="s">
        <v>687</v>
      </c>
      <c r="J2170" s="4" t="s">
        <v>688</v>
      </c>
      <c r="K2170" s="11">
        <v>0</v>
      </c>
      <c r="L2170" s="4"/>
      <c r="M2170" s="4"/>
      <c r="N2170" s="11">
        <v>0</v>
      </c>
      <c r="O2170" s="4"/>
      <c r="P2170" s="4"/>
      <c r="Q2170" s="11">
        <v>0</v>
      </c>
      <c r="R2170" s="4"/>
      <c r="S2170" s="12"/>
    </row>
    <row r="2171" spans="1:19" x14ac:dyDescent="0.25">
      <c r="A2171" s="9" t="s">
        <v>571</v>
      </c>
      <c r="B2171" s="9" t="s">
        <v>571</v>
      </c>
      <c r="C2171" s="4">
        <v>201002343</v>
      </c>
      <c r="D2171" s="4"/>
      <c r="E2171" s="4" t="str">
        <f>"050562010"</f>
        <v>050562010</v>
      </c>
      <c r="F2171" s="10">
        <v>40262</v>
      </c>
      <c r="G2171" s="11">
        <v>7787.56</v>
      </c>
      <c r="H2171" s="11">
        <v>7787.56</v>
      </c>
      <c r="I2171" s="4" t="s">
        <v>687</v>
      </c>
      <c r="J2171" s="4" t="s">
        <v>688</v>
      </c>
      <c r="K2171" s="11">
        <v>0</v>
      </c>
      <c r="L2171" s="4"/>
      <c r="M2171" s="4"/>
      <c r="N2171" s="11">
        <v>0</v>
      </c>
      <c r="O2171" s="4"/>
      <c r="P2171" s="4"/>
      <c r="Q2171" s="11">
        <v>0</v>
      </c>
      <c r="R2171" s="4"/>
      <c r="S2171" s="12"/>
    </row>
    <row r="2172" spans="1:19" x14ac:dyDescent="0.25">
      <c r="A2172" s="9" t="s">
        <v>571</v>
      </c>
      <c r="B2172" s="9" t="s">
        <v>571</v>
      </c>
      <c r="C2172" s="4">
        <v>201002350</v>
      </c>
      <c r="D2172" s="4" t="s">
        <v>2224</v>
      </c>
      <c r="E2172" s="4" t="str">
        <f>"047182010"</f>
        <v>047182010</v>
      </c>
      <c r="F2172" s="10">
        <v>40252</v>
      </c>
      <c r="G2172" s="11">
        <v>35000</v>
      </c>
      <c r="H2172" s="11">
        <v>35000</v>
      </c>
      <c r="I2172" s="4" t="s">
        <v>366</v>
      </c>
      <c r="J2172" s="4" t="s">
        <v>367</v>
      </c>
      <c r="K2172" s="11">
        <v>0</v>
      </c>
      <c r="L2172" s="4"/>
      <c r="M2172" s="4"/>
      <c r="N2172" s="11">
        <v>0</v>
      </c>
      <c r="O2172" s="4"/>
      <c r="P2172" s="4"/>
      <c r="Q2172" s="11">
        <v>0</v>
      </c>
      <c r="R2172" s="4"/>
      <c r="S2172" s="12"/>
    </row>
    <row r="2173" spans="1:19" x14ac:dyDescent="0.25">
      <c r="A2173" s="9" t="s">
        <v>571</v>
      </c>
      <c r="B2173" s="9" t="s">
        <v>571</v>
      </c>
      <c r="C2173" s="4">
        <v>201002353</v>
      </c>
      <c r="D2173" s="4" t="s">
        <v>2225</v>
      </c>
      <c r="E2173" s="4" t="str">
        <f>"046302010"</f>
        <v>046302010</v>
      </c>
      <c r="F2173" s="10">
        <v>40249</v>
      </c>
      <c r="G2173" s="11">
        <v>24950</v>
      </c>
      <c r="H2173" s="11">
        <v>24950</v>
      </c>
      <c r="I2173" s="4" t="s">
        <v>931</v>
      </c>
      <c r="J2173" s="4" t="s">
        <v>932</v>
      </c>
      <c r="K2173" s="11">
        <v>0</v>
      </c>
      <c r="L2173" s="4"/>
      <c r="M2173" s="4"/>
      <c r="N2173" s="11">
        <v>0</v>
      </c>
      <c r="O2173" s="4"/>
      <c r="P2173" s="4"/>
      <c r="Q2173" s="11">
        <v>0</v>
      </c>
      <c r="R2173" s="4"/>
      <c r="S2173" s="12"/>
    </row>
    <row r="2174" spans="1:19" x14ac:dyDescent="0.25">
      <c r="A2174" s="9" t="s">
        <v>571</v>
      </c>
      <c r="B2174" s="9" t="s">
        <v>571</v>
      </c>
      <c r="C2174" s="4">
        <v>201002358</v>
      </c>
      <c r="D2174" s="4" t="s">
        <v>2226</v>
      </c>
      <c r="E2174" s="4" t="str">
        <f>"049142010"</f>
        <v>049142010</v>
      </c>
      <c r="F2174" s="10">
        <v>40262</v>
      </c>
      <c r="G2174" s="11">
        <v>250000</v>
      </c>
      <c r="H2174" s="11">
        <v>250000</v>
      </c>
      <c r="I2174" s="4" t="s">
        <v>687</v>
      </c>
      <c r="J2174" s="4" t="s">
        <v>688</v>
      </c>
      <c r="K2174" s="11">
        <v>0</v>
      </c>
      <c r="L2174" s="4"/>
      <c r="M2174" s="4"/>
      <c r="N2174" s="11">
        <v>0</v>
      </c>
      <c r="O2174" s="4"/>
      <c r="P2174" s="4"/>
      <c r="Q2174" s="11">
        <v>0</v>
      </c>
      <c r="R2174" s="4"/>
      <c r="S2174" s="12"/>
    </row>
    <row r="2175" spans="1:19" x14ac:dyDescent="0.25">
      <c r="A2175" s="9" t="s">
        <v>571</v>
      </c>
      <c r="B2175" s="9" t="s">
        <v>571</v>
      </c>
      <c r="C2175" s="4">
        <v>201002409</v>
      </c>
      <c r="D2175" s="4" t="s">
        <v>2227</v>
      </c>
      <c r="E2175" s="4" t="str">
        <f>"047682010"</f>
        <v>047682010</v>
      </c>
      <c r="F2175" s="10">
        <v>40253</v>
      </c>
      <c r="G2175" s="11">
        <v>20000</v>
      </c>
      <c r="H2175" s="11">
        <v>20000</v>
      </c>
      <c r="I2175" s="4" t="s">
        <v>687</v>
      </c>
      <c r="J2175" s="4" t="s">
        <v>688</v>
      </c>
      <c r="K2175" s="11">
        <v>0</v>
      </c>
      <c r="L2175" s="4"/>
      <c r="M2175" s="4"/>
      <c r="N2175" s="11">
        <v>0</v>
      </c>
      <c r="O2175" s="4"/>
      <c r="P2175" s="4"/>
      <c r="Q2175" s="11">
        <v>0</v>
      </c>
      <c r="R2175" s="4"/>
      <c r="S2175" s="12"/>
    </row>
    <row r="2176" spans="1:19" x14ac:dyDescent="0.25">
      <c r="A2176" s="9" t="s">
        <v>571</v>
      </c>
      <c r="B2176" s="9" t="s">
        <v>571</v>
      </c>
      <c r="C2176" s="4">
        <v>201002415</v>
      </c>
      <c r="D2176" s="4"/>
      <c r="E2176" s="4" t="str">
        <f>"049462010"</f>
        <v>049462010</v>
      </c>
      <c r="F2176" s="10">
        <v>40260</v>
      </c>
      <c r="G2176" s="11">
        <v>38000</v>
      </c>
      <c r="H2176" s="11">
        <v>38000</v>
      </c>
      <c r="I2176" s="4" t="s">
        <v>687</v>
      </c>
      <c r="J2176" s="4" t="s">
        <v>688</v>
      </c>
      <c r="K2176" s="11">
        <v>0</v>
      </c>
      <c r="L2176" s="4"/>
      <c r="M2176" s="4"/>
      <c r="N2176" s="11">
        <v>0</v>
      </c>
      <c r="O2176" s="4"/>
      <c r="P2176" s="4"/>
      <c r="Q2176" s="11">
        <v>0</v>
      </c>
      <c r="R2176" s="4"/>
      <c r="S2176" s="12"/>
    </row>
    <row r="2177" spans="1:19" x14ac:dyDescent="0.25">
      <c r="A2177" s="9" t="s">
        <v>571</v>
      </c>
      <c r="B2177" s="9" t="s">
        <v>571</v>
      </c>
      <c r="C2177" s="4">
        <v>201002418</v>
      </c>
      <c r="D2177" s="4"/>
      <c r="E2177" s="4" t="str">
        <f>"048062010"</f>
        <v>048062010</v>
      </c>
      <c r="F2177" s="10">
        <v>40253</v>
      </c>
      <c r="G2177" s="11">
        <v>4000</v>
      </c>
      <c r="H2177" s="11">
        <v>4000</v>
      </c>
      <c r="I2177" s="4" t="s">
        <v>54</v>
      </c>
      <c r="J2177" s="4" t="s">
        <v>55</v>
      </c>
      <c r="K2177" s="11">
        <v>0</v>
      </c>
      <c r="L2177" s="4"/>
      <c r="M2177" s="4"/>
      <c r="N2177" s="11">
        <v>0</v>
      </c>
      <c r="O2177" s="4"/>
      <c r="P2177" s="4"/>
      <c r="Q2177" s="11">
        <v>0</v>
      </c>
      <c r="R2177" s="4"/>
      <c r="S2177" s="12"/>
    </row>
    <row r="2178" spans="1:19" x14ac:dyDescent="0.25">
      <c r="A2178" s="9" t="s">
        <v>571</v>
      </c>
      <c r="B2178" s="9" t="s">
        <v>571</v>
      </c>
      <c r="C2178" s="4">
        <v>201002419</v>
      </c>
      <c r="D2178" s="4" t="s">
        <v>2228</v>
      </c>
      <c r="E2178" s="4" t="str">
        <f>"048102010"</f>
        <v>048102010</v>
      </c>
      <c r="F2178" s="10">
        <v>40253</v>
      </c>
      <c r="G2178" s="11">
        <v>150000</v>
      </c>
      <c r="H2178" s="11">
        <v>150000</v>
      </c>
      <c r="I2178" s="4" t="s">
        <v>687</v>
      </c>
      <c r="J2178" s="4" t="s">
        <v>688</v>
      </c>
      <c r="K2178" s="11">
        <v>0</v>
      </c>
      <c r="L2178" s="4"/>
      <c r="M2178" s="4"/>
      <c r="N2178" s="11">
        <v>0</v>
      </c>
      <c r="O2178" s="4"/>
      <c r="P2178" s="4"/>
      <c r="Q2178" s="11">
        <v>0</v>
      </c>
      <c r="R2178" s="4"/>
      <c r="S2178" s="12"/>
    </row>
    <row r="2179" spans="1:19" x14ac:dyDescent="0.25">
      <c r="A2179" s="9" t="s">
        <v>571</v>
      </c>
      <c r="B2179" s="9" t="s">
        <v>571</v>
      </c>
      <c r="C2179" s="4">
        <v>201002420</v>
      </c>
      <c r="D2179" s="4"/>
      <c r="E2179" s="4" t="str">
        <f>"050662010"</f>
        <v>050662010</v>
      </c>
      <c r="F2179" s="10">
        <v>40263</v>
      </c>
      <c r="G2179" s="11">
        <v>10000</v>
      </c>
      <c r="H2179" s="11">
        <v>10000</v>
      </c>
      <c r="I2179" s="4" t="s">
        <v>687</v>
      </c>
      <c r="J2179" s="4" t="s">
        <v>688</v>
      </c>
      <c r="K2179" s="11">
        <v>0</v>
      </c>
      <c r="L2179" s="4"/>
      <c r="M2179" s="4"/>
      <c r="N2179" s="11">
        <v>0</v>
      </c>
      <c r="O2179" s="4"/>
      <c r="P2179" s="4"/>
      <c r="Q2179" s="11">
        <v>0</v>
      </c>
      <c r="R2179" s="4"/>
      <c r="S2179" s="12"/>
    </row>
    <row r="2180" spans="1:19" x14ac:dyDescent="0.25">
      <c r="A2180" s="9" t="s">
        <v>571</v>
      </c>
      <c r="B2180" s="9" t="s">
        <v>571</v>
      </c>
      <c r="C2180" s="4">
        <v>201002421</v>
      </c>
      <c r="D2180" s="4"/>
      <c r="E2180" s="4" t="str">
        <f>"048122010"</f>
        <v>048122010</v>
      </c>
      <c r="F2180" s="10">
        <v>40254</v>
      </c>
      <c r="G2180" s="11">
        <v>10000</v>
      </c>
      <c r="H2180" s="11">
        <v>10000</v>
      </c>
      <c r="I2180" s="4" t="s">
        <v>687</v>
      </c>
      <c r="J2180" s="4" t="s">
        <v>688</v>
      </c>
      <c r="K2180" s="11">
        <v>0</v>
      </c>
      <c r="L2180" s="4"/>
      <c r="M2180" s="4"/>
      <c r="N2180" s="11">
        <v>0</v>
      </c>
      <c r="O2180" s="4"/>
      <c r="P2180" s="4"/>
      <c r="Q2180" s="11">
        <v>0</v>
      </c>
      <c r="R2180" s="4"/>
      <c r="S2180" s="12"/>
    </row>
    <row r="2181" spans="1:19" x14ac:dyDescent="0.25">
      <c r="A2181" s="9" t="s">
        <v>571</v>
      </c>
      <c r="B2181" s="9" t="s">
        <v>571</v>
      </c>
      <c r="C2181" s="4">
        <v>201002436</v>
      </c>
      <c r="D2181" s="4"/>
      <c r="E2181" s="4" t="str">
        <f>"051522010"</f>
        <v>051522010</v>
      </c>
      <c r="F2181" s="10">
        <v>40263</v>
      </c>
      <c r="G2181" s="11">
        <v>3501.42</v>
      </c>
      <c r="H2181" s="11">
        <v>3501.42</v>
      </c>
      <c r="I2181" s="4" t="s">
        <v>931</v>
      </c>
      <c r="J2181" s="4" t="s">
        <v>932</v>
      </c>
      <c r="K2181" s="11">
        <v>0</v>
      </c>
      <c r="L2181" s="4"/>
      <c r="M2181" s="4"/>
      <c r="N2181" s="11">
        <v>0</v>
      </c>
      <c r="O2181" s="4"/>
      <c r="P2181" s="4"/>
      <c r="Q2181" s="11">
        <v>0</v>
      </c>
      <c r="R2181" s="4"/>
      <c r="S2181" s="12"/>
    </row>
    <row r="2182" spans="1:19" x14ac:dyDescent="0.25">
      <c r="A2182" s="9" t="s">
        <v>571</v>
      </c>
      <c r="B2182" s="9" t="s">
        <v>571</v>
      </c>
      <c r="C2182" s="4">
        <v>201002437</v>
      </c>
      <c r="D2182" s="4"/>
      <c r="E2182" s="4" t="str">
        <f>"048402010"</f>
        <v>048402010</v>
      </c>
      <c r="F2182" s="10">
        <v>40254</v>
      </c>
      <c r="G2182" s="11">
        <v>25000</v>
      </c>
      <c r="H2182" s="11">
        <v>25000</v>
      </c>
      <c r="I2182" s="4" t="s">
        <v>687</v>
      </c>
      <c r="J2182" s="4" t="s">
        <v>688</v>
      </c>
      <c r="K2182" s="11">
        <v>0</v>
      </c>
      <c r="L2182" s="4"/>
      <c r="M2182" s="4"/>
      <c r="N2182" s="11">
        <v>0</v>
      </c>
      <c r="O2182" s="4"/>
      <c r="P2182" s="4"/>
      <c r="Q2182" s="11">
        <v>0</v>
      </c>
      <c r="R2182" s="4"/>
      <c r="S2182" s="12"/>
    </row>
    <row r="2183" spans="1:19" x14ac:dyDescent="0.25">
      <c r="A2183" s="9" t="s">
        <v>571</v>
      </c>
      <c r="B2183" s="9" t="s">
        <v>571</v>
      </c>
      <c r="C2183" s="4">
        <v>201002438</v>
      </c>
      <c r="D2183" s="4" t="s">
        <v>2229</v>
      </c>
      <c r="E2183" s="4" t="str">
        <f>"048422010"</f>
        <v>048422010</v>
      </c>
      <c r="F2183" s="10">
        <v>40254</v>
      </c>
      <c r="G2183" s="11">
        <v>60000</v>
      </c>
      <c r="H2183" s="11">
        <v>60000</v>
      </c>
      <c r="I2183" s="4" t="s">
        <v>687</v>
      </c>
      <c r="J2183" s="4" t="s">
        <v>688</v>
      </c>
      <c r="K2183" s="11">
        <v>0</v>
      </c>
      <c r="L2183" s="4"/>
      <c r="M2183" s="4"/>
      <c r="N2183" s="11">
        <v>0</v>
      </c>
      <c r="O2183" s="4"/>
      <c r="P2183" s="4"/>
      <c r="Q2183" s="11">
        <v>0</v>
      </c>
      <c r="R2183" s="4"/>
      <c r="S2183" s="12"/>
    </row>
    <row r="2184" spans="1:19" x14ac:dyDescent="0.25">
      <c r="A2184" s="9" t="s">
        <v>571</v>
      </c>
      <c r="B2184" s="9" t="s">
        <v>571</v>
      </c>
      <c r="C2184" s="4">
        <v>201002450</v>
      </c>
      <c r="D2184" s="4"/>
      <c r="E2184" s="4" t="str">
        <f>"053582010"</f>
        <v>053582010</v>
      </c>
      <c r="F2184" s="10">
        <v>40274</v>
      </c>
      <c r="G2184" s="11">
        <v>20000</v>
      </c>
      <c r="H2184" s="11">
        <v>20000</v>
      </c>
      <c r="I2184" s="4" t="s">
        <v>687</v>
      </c>
      <c r="J2184" s="4" t="s">
        <v>688</v>
      </c>
      <c r="K2184" s="11">
        <v>0</v>
      </c>
      <c r="L2184" s="4"/>
      <c r="M2184" s="4"/>
      <c r="N2184" s="11">
        <v>0</v>
      </c>
      <c r="O2184" s="4"/>
      <c r="P2184" s="4"/>
      <c r="Q2184" s="11">
        <v>0</v>
      </c>
      <c r="R2184" s="4"/>
      <c r="S2184" s="12"/>
    </row>
    <row r="2185" spans="1:19" x14ac:dyDescent="0.25">
      <c r="A2185" s="9" t="s">
        <v>571</v>
      </c>
      <c r="B2185" s="9" t="s">
        <v>571</v>
      </c>
      <c r="C2185" s="4">
        <v>201002463</v>
      </c>
      <c r="D2185" s="4"/>
      <c r="E2185" s="4" t="str">
        <f>"050002010"</f>
        <v>050002010</v>
      </c>
      <c r="F2185" s="10">
        <v>40262</v>
      </c>
      <c r="G2185" s="11">
        <v>300000</v>
      </c>
      <c r="H2185" s="11">
        <v>300000</v>
      </c>
      <c r="I2185" s="4" t="s">
        <v>687</v>
      </c>
      <c r="J2185" s="4" t="s">
        <v>688</v>
      </c>
      <c r="K2185" s="11">
        <v>0</v>
      </c>
      <c r="L2185" s="4"/>
      <c r="M2185" s="4"/>
      <c r="N2185" s="11">
        <v>0</v>
      </c>
      <c r="O2185" s="4"/>
      <c r="P2185" s="4"/>
      <c r="Q2185" s="11">
        <v>0</v>
      </c>
      <c r="R2185" s="4"/>
      <c r="S2185" s="12"/>
    </row>
    <row r="2186" spans="1:19" x14ac:dyDescent="0.25">
      <c r="A2186" s="9" t="s">
        <v>571</v>
      </c>
      <c r="B2186" s="9" t="s">
        <v>571</v>
      </c>
      <c r="C2186" s="4">
        <v>201002465</v>
      </c>
      <c r="D2186" s="4" t="s">
        <v>2230</v>
      </c>
      <c r="E2186" s="4" t="str">
        <f>"050162010"</f>
        <v>050162010</v>
      </c>
      <c r="F2186" s="10">
        <v>40262</v>
      </c>
      <c r="G2186" s="11">
        <v>75000</v>
      </c>
      <c r="H2186" s="11">
        <v>75000</v>
      </c>
      <c r="I2186" s="4" t="s">
        <v>687</v>
      </c>
      <c r="J2186" s="4" t="s">
        <v>688</v>
      </c>
      <c r="K2186" s="11">
        <v>0</v>
      </c>
      <c r="L2186" s="4"/>
      <c r="M2186" s="4"/>
      <c r="N2186" s="11">
        <v>0</v>
      </c>
      <c r="O2186" s="4"/>
      <c r="P2186" s="4"/>
      <c r="Q2186" s="11">
        <v>0</v>
      </c>
      <c r="R2186" s="4"/>
      <c r="S2186" s="12"/>
    </row>
    <row r="2187" spans="1:19" x14ac:dyDescent="0.25">
      <c r="A2187" s="9" t="s">
        <v>571</v>
      </c>
      <c r="B2187" s="9" t="s">
        <v>571</v>
      </c>
      <c r="C2187" s="4">
        <v>201002484</v>
      </c>
      <c r="D2187" s="4" t="s">
        <v>2231</v>
      </c>
      <c r="E2187" s="4" t="str">
        <f>"051422010"</f>
        <v>051422010</v>
      </c>
      <c r="F2187" s="10">
        <v>40263</v>
      </c>
      <c r="G2187" s="11">
        <v>350000</v>
      </c>
      <c r="H2187" s="11">
        <v>350000</v>
      </c>
      <c r="I2187" s="4" t="s">
        <v>687</v>
      </c>
      <c r="J2187" s="4" t="s">
        <v>688</v>
      </c>
      <c r="K2187" s="11">
        <v>0</v>
      </c>
      <c r="L2187" s="4"/>
      <c r="M2187" s="4"/>
      <c r="N2187" s="11">
        <v>0</v>
      </c>
      <c r="O2187" s="4"/>
      <c r="P2187" s="4"/>
      <c r="Q2187" s="11">
        <v>0</v>
      </c>
      <c r="R2187" s="4"/>
      <c r="S2187" s="12"/>
    </row>
    <row r="2188" spans="1:19" x14ac:dyDescent="0.25">
      <c r="A2188" s="9" t="s">
        <v>571</v>
      </c>
      <c r="B2188" s="9" t="s">
        <v>571</v>
      </c>
      <c r="C2188" s="4">
        <v>201002486</v>
      </c>
      <c r="D2188" s="4" t="s">
        <v>2232</v>
      </c>
      <c r="E2188" s="4" t="str">
        <f>"083262010"</f>
        <v>083262010</v>
      </c>
      <c r="F2188" s="10">
        <v>40357</v>
      </c>
      <c r="G2188" s="11">
        <v>675000</v>
      </c>
      <c r="H2188" s="11">
        <v>675000</v>
      </c>
      <c r="I2188" s="4" t="s">
        <v>687</v>
      </c>
      <c r="J2188" s="4" t="s">
        <v>688</v>
      </c>
      <c r="K2188" s="11">
        <v>0</v>
      </c>
      <c r="L2188" s="4"/>
      <c r="M2188" s="4"/>
      <c r="N2188" s="11">
        <v>0</v>
      </c>
      <c r="O2188" s="4"/>
      <c r="P2188" s="4"/>
      <c r="Q2188" s="11">
        <v>0</v>
      </c>
      <c r="R2188" s="4"/>
      <c r="S2188" s="12"/>
    </row>
    <row r="2189" spans="1:19" x14ac:dyDescent="0.25">
      <c r="A2189" s="9" t="s">
        <v>571</v>
      </c>
      <c r="B2189" s="9" t="s">
        <v>571</v>
      </c>
      <c r="C2189" s="4">
        <v>201002493</v>
      </c>
      <c r="D2189" s="4" t="s">
        <v>2233</v>
      </c>
      <c r="E2189" s="4" t="str">
        <f>"049602010"</f>
        <v>049602010</v>
      </c>
      <c r="F2189" s="10">
        <v>40262</v>
      </c>
      <c r="G2189" s="11">
        <v>45000</v>
      </c>
      <c r="H2189" s="11">
        <v>45000</v>
      </c>
      <c r="I2189" s="4" t="s">
        <v>687</v>
      </c>
      <c r="J2189" s="4" t="s">
        <v>688</v>
      </c>
      <c r="K2189" s="11">
        <v>0</v>
      </c>
      <c r="L2189" s="4"/>
      <c r="M2189" s="4"/>
      <c r="N2189" s="11">
        <v>0</v>
      </c>
      <c r="O2189" s="4"/>
      <c r="P2189" s="4"/>
      <c r="Q2189" s="11">
        <v>0</v>
      </c>
      <c r="R2189" s="4"/>
      <c r="S2189" s="12"/>
    </row>
    <row r="2190" spans="1:19" x14ac:dyDescent="0.25">
      <c r="A2190" s="9" t="s">
        <v>571</v>
      </c>
      <c r="B2190" s="9" t="s">
        <v>571</v>
      </c>
      <c r="C2190" s="4">
        <v>201002496</v>
      </c>
      <c r="D2190" s="4"/>
      <c r="E2190" s="4" t="str">
        <f>"051342010"</f>
        <v>051342010</v>
      </c>
      <c r="F2190" s="10">
        <v>40263</v>
      </c>
      <c r="G2190" s="11">
        <v>50000</v>
      </c>
      <c r="H2190" s="11">
        <v>50000</v>
      </c>
      <c r="I2190" s="4" t="s">
        <v>687</v>
      </c>
      <c r="J2190" s="4" t="s">
        <v>688</v>
      </c>
      <c r="K2190" s="11">
        <v>0</v>
      </c>
      <c r="L2190" s="4"/>
      <c r="M2190" s="4"/>
      <c r="N2190" s="11">
        <v>0</v>
      </c>
      <c r="O2190" s="4"/>
      <c r="P2190" s="4"/>
      <c r="Q2190" s="11">
        <v>0</v>
      </c>
      <c r="R2190" s="4"/>
      <c r="S2190" s="12"/>
    </row>
    <row r="2191" spans="1:19" x14ac:dyDescent="0.25">
      <c r="A2191" s="9" t="s">
        <v>571</v>
      </c>
      <c r="B2191" s="9" t="s">
        <v>571</v>
      </c>
      <c r="C2191" s="4">
        <v>201002497</v>
      </c>
      <c r="D2191" s="4"/>
      <c r="E2191" s="4" t="str">
        <f>"053622010"</f>
        <v>053622010</v>
      </c>
      <c r="F2191" s="10">
        <v>40270</v>
      </c>
      <c r="G2191" s="11">
        <v>7500</v>
      </c>
      <c r="H2191" s="11">
        <v>7500</v>
      </c>
      <c r="I2191" s="4" t="s">
        <v>687</v>
      </c>
      <c r="J2191" s="4" t="s">
        <v>688</v>
      </c>
      <c r="K2191" s="11">
        <v>0</v>
      </c>
      <c r="L2191" s="4"/>
      <c r="M2191" s="4"/>
      <c r="N2191" s="11">
        <v>0</v>
      </c>
      <c r="O2191" s="4"/>
      <c r="P2191" s="4"/>
      <c r="Q2191" s="11">
        <v>0</v>
      </c>
      <c r="R2191" s="4"/>
      <c r="S2191" s="12"/>
    </row>
    <row r="2192" spans="1:19" x14ac:dyDescent="0.25">
      <c r="A2192" s="9" t="s">
        <v>571</v>
      </c>
      <c r="B2192" s="9" t="s">
        <v>571</v>
      </c>
      <c r="C2192" s="4">
        <v>201002503</v>
      </c>
      <c r="D2192" s="4"/>
      <c r="E2192" s="4" t="str">
        <f>"062002010"</f>
        <v>062002010</v>
      </c>
      <c r="F2192" s="10">
        <v>40296</v>
      </c>
      <c r="G2192" s="11">
        <v>2754.95</v>
      </c>
      <c r="H2192" s="11">
        <v>2754.95</v>
      </c>
      <c r="I2192" s="4" t="s">
        <v>366</v>
      </c>
      <c r="J2192" s="4" t="s">
        <v>367</v>
      </c>
      <c r="K2192" s="11">
        <v>0</v>
      </c>
      <c r="L2192" s="4"/>
      <c r="M2192" s="4"/>
      <c r="N2192" s="11">
        <v>0</v>
      </c>
      <c r="O2192" s="4"/>
      <c r="P2192" s="4"/>
      <c r="Q2192" s="11">
        <v>0</v>
      </c>
      <c r="R2192" s="4"/>
      <c r="S2192" s="12"/>
    </row>
    <row r="2193" spans="1:19" x14ac:dyDescent="0.25">
      <c r="A2193" s="9" t="s">
        <v>571</v>
      </c>
      <c r="B2193" s="9" t="s">
        <v>571</v>
      </c>
      <c r="C2193" s="4">
        <v>201002514</v>
      </c>
      <c r="D2193" s="4" t="s">
        <v>2234</v>
      </c>
      <c r="E2193" s="4" t="str">
        <f>"049542010"</f>
        <v>049542010</v>
      </c>
      <c r="F2193" s="10">
        <v>40262</v>
      </c>
      <c r="G2193" s="11">
        <v>20000</v>
      </c>
      <c r="H2193" s="11">
        <v>20000</v>
      </c>
      <c r="I2193" s="4" t="s">
        <v>54</v>
      </c>
      <c r="J2193" s="4" t="s">
        <v>55</v>
      </c>
      <c r="K2193" s="11">
        <v>0</v>
      </c>
      <c r="L2193" s="4"/>
      <c r="M2193" s="4"/>
      <c r="N2193" s="11">
        <v>0</v>
      </c>
      <c r="O2193" s="4"/>
      <c r="P2193" s="4"/>
      <c r="Q2193" s="11">
        <v>0</v>
      </c>
      <c r="R2193" s="4"/>
      <c r="S2193" s="12"/>
    </row>
    <row r="2194" spans="1:19" x14ac:dyDescent="0.25">
      <c r="A2194" s="9" t="s">
        <v>571</v>
      </c>
      <c r="B2194" s="9" t="s">
        <v>571</v>
      </c>
      <c r="C2194" s="4">
        <v>201002519</v>
      </c>
      <c r="D2194" s="4"/>
      <c r="E2194" s="4" t="str">
        <f>"049702010"</f>
        <v>049702010</v>
      </c>
      <c r="F2194" s="10">
        <v>40262</v>
      </c>
      <c r="G2194" s="11">
        <v>20000</v>
      </c>
      <c r="H2194" s="11">
        <v>20000</v>
      </c>
      <c r="I2194" s="4" t="s">
        <v>687</v>
      </c>
      <c r="J2194" s="4" t="s">
        <v>688</v>
      </c>
      <c r="K2194" s="11">
        <v>0</v>
      </c>
      <c r="L2194" s="4"/>
      <c r="M2194" s="4"/>
      <c r="N2194" s="11">
        <v>0</v>
      </c>
      <c r="O2194" s="4"/>
      <c r="P2194" s="4"/>
      <c r="Q2194" s="11">
        <v>0</v>
      </c>
      <c r="R2194" s="4"/>
      <c r="S2194" s="12"/>
    </row>
    <row r="2195" spans="1:19" x14ac:dyDescent="0.25">
      <c r="A2195" s="9" t="s">
        <v>571</v>
      </c>
      <c r="B2195" s="9" t="s">
        <v>571</v>
      </c>
      <c r="C2195" s="4">
        <v>201002523</v>
      </c>
      <c r="D2195" s="4" t="s">
        <v>2235</v>
      </c>
      <c r="E2195" s="4" t="str">
        <f>"049862010"</f>
        <v>049862010</v>
      </c>
      <c r="F2195" s="10">
        <v>40262</v>
      </c>
      <c r="G2195" s="11">
        <v>7177.41</v>
      </c>
      <c r="H2195" s="11">
        <v>7177.41</v>
      </c>
      <c r="I2195" s="4" t="s">
        <v>366</v>
      </c>
      <c r="J2195" s="4" t="s">
        <v>367</v>
      </c>
      <c r="K2195" s="11">
        <v>0</v>
      </c>
      <c r="L2195" s="4"/>
      <c r="M2195" s="4"/>
      <c r="N2195" s="11">
        <v>0</v>
      </c>
      <c r="O2195" s="4"/>
      <c r="P2195" s="4"/>
      <c r="Q2195" s="11">
        <v>0</v>
      </c>
      <c r="R2195" s="4"/>
      <c r="S2195" s="12"/>
    </row>
    <row r="2196" spans="1:19" x14ac:dyDescent="0.25">
      <c r="A2196" s="9" t="s">
        <v>571</v>
      </c>
      <c r="B2196" s="9" t="s">
        <v>571</v>
      </c>
      <c r="C2196" s="4">
        <v>201002577</v>
      </c>
      <c r="D2196" s="4"/>
      <c r="E2196" s="4" t="str">
        <f>"050982010"</f>
        <v>050982010</v>
      </c>
      <c r="F2196" s="10">
        <v>40262</v>
      </c>
      <c r="G2196" s="11">
        <v>100000</v>
      </c>
      <c r="H2196" s="11">
        <v>100000</v>
      </c>
      <c r="I2196" s="4" t="s">
        <v>687</v>
      </c>
      <c r="J2196" s="4" t="s">
        <v>688</v>
      </c>
      <c r="K2196" s="11">
        <v>0</v>
      </c>
      <c r="L2196" s="4"/>
      <c r="M2196" s="4"/>
      <c r="N2196" s="11">
        <v>0</v>
      </c>
      <c r="O2196" s="4"/>
      <c r="P2196" s="4"/>
      <c r="Q2196" s="11">
        <v>0</v>
      </c>
      <c r="R2196" s="4"/>
      <c r="S2196" s="12"/>
    </row>
    <row r="2197" spans="1:19" x14ac:dyDescent="0.25">
      <c r="A2197" s="9" t="s">
        <v>571</v>
      </c>
      <c r="B2197" s="9" t="s">
        <v>571</v>
      </c>
      <c r="C2197" s="4">
        <v>201002611</v>
      </c>
      <c r="D2197" s="4" t="s">
        <v>2236</v>
      </c>
      <c r="E2197" s="4" t="str">
        <f>"056472010"</f>
        <v>056472010</v>
      </c>
      <c r="F2197" s="10">
        <v>40276</v>
      </c>
      <c r="G2197" s="11">
        <v>175000</v>
      </c>
      <c r="H2197" s="11">
        <v>175000</v>
      </c>
      <c r="I2197" s="4" t="s">
        <v>931</v>
      </c>
      <c r="J2197" s="4" t="s">
        <v>932</v>
      </c>
      <c r="K2197" s="11">
        <v>0</v>
      </c>
      <c r="L2197" s="4"/>
      <c r="M2197" s="4"/>
      <c r="N2197" s="11">
        <v>0</v>
      </c>
      <c r="O2197" s="4"/>
      <c r="P2197" s="4"/>
      <c r="Q2197" s="11">
        <v>0</v>
      </c>
      <c r="R2197" s="4"/>
      <c r="S2197" s="12"/>
    </row>
    <row r="2198" spans="1:19" x14ac:dyDescent="0.25">
      <c r="A2198" s="9" t="s">
        <v>571</v>
      </c>
      <c r="B2198" s="9" t="s">
        <v>571</v>
      </c>
      <c r="C2198" s="4">
        <v>201002621</v>
      </c>
      <c r="D2198" s="4"/>
      <c r="E2198" s="4" t="str">
        <f>"053282010"</f>
        <v>053282010</v>
      </c>
      <c r="F2198" s="10">
        <v>40274</v>
      </c>
      <c r="G2198" s="11">
        <v>2600</v>
      </c>
      <c r="H2198" s="11">
        <v>2600</v>
      </c>
      <c r="I2198" s="4" t="s">
        <v>366</v>
      </c>
      <c r="J2198" s="4" t="s">
        <v>367</v>
      </c>
      <c r="K2198" s="11">
        <v>0</v>
      </c>
      <c r="L2198" s="4"/>
      <c r="M2198" s="4"/>
      <c r="N2198" s="11">
        <v>0</v>
      </c>
      <c r="O2198" s="4"/>
      <c r="P2198" s="4"/>
      <c r="Q2198" s="11">
        <v>0</v>
      </c>
      <c r="R2198" s="4"/>
      <c r="S2198" s="12"/>
    </row>
    <row r="2199" spans="1:19" x14ac:dyDescent="0.25">
      <c r="A2199" s="9" t="s">
        <v>571</v>
      </c>
      <c r="B2199" s="9" t="s">
        <v>571</v>
      </c>
      <c r="C2199" s="4">
        <v>201002625</v>
      </c>
      <c r="D2199" s="4"/>
      <c r="E2199" s="4" t="str">
        <f>"052942010"</f>
        <v>052942010</v>
      </c>
      <c r="F2199" s="10">
        <v>40276</v>
      </c>
      <c r="G2199" s="11">
        <v>7100.43</v>
      </c>
      <c r="H2199" s="11">
        <v>7100.43</v>
      </c>
      <c r="I2199" s="4" t="s">
        <v>366</v>
      </c>
      <c r="J2199" s="4" t="s">
        <v>367</v>
      </c>
      <c r="K2199" s="11">
        <v>0</v>
      </c>
      <c r="L2199" s="4"/>
      <c r="M2199" s="4"/>
      <c r="N2199" s="11">
        <v>0</v>
      </c>
      <c r="O2199" s="4"/>
      <c r="P2199" s="4"/>
      <c r="Q2199" s="11">
        <v>0</v>
      </c>
      <c r="R2199" s="4"/>
      <c r="S2199" s="12"/>
    </row>
    <row r="2200" spans="1:19" x14ac:dyDescent="0.25">
      <c r="A2200" s="9" t="s">
        <v>571</v>
      </c>
      <c r="B2200" s="9" t="s">
        <v>571</v>
      </c>
      <c r="C2200" s="4">
        <v>201002627</v>
      </c>
      <c r="D2200" s="4" t="s">
        <v>2199</v>
      </c>
      <c r="E2200" s="4" t="str">
        <f>"059032010"</f>
        <v>059032010</v>
      </c>
      <c r="F2200" s="10">
        <v>40284</v>
      </c>
      <c r="G2200" s="11">
        <v>300000</v>
      </c>
      <c r="H2200" s="11">
        <v>300000</v>
      </c>
      <c r="I2200" s="4" t="s">
        <v>687</v>
      </c>
      <c r="J2200" s="4" t="s">
        <v>688</v>
      </c>
      <c r="K2200" s="11">
        <v>0</v>
      </c>
      <c r="L2200" s="4"/>
      <c r="M2200" s="4"/>
      <c r="N2200" s="11">
        <v>0</v>
      </c>
      <c r="O2200" s="4"/>
      <c r="P2200" s="4"/>
      <c r="Q2200" s="11">
        <v>0</v>
      </c>
      <c r="R2200" s="4"/>
      <c r="S2200" s="12"/>
    </row>
    <row r="2201" spans="1:19" x14ac:dyDescent="0.25">
      <c r="A2201" s="9" t="s">
        <v>571</v>
      </c>
      <c r="B2201" s="9" t="s">
        <v>571</v>
      </c>
      <c r="C2201" s="4">
        <v>201002649</v>
      </c>
      <c r="D2201" s="4"/>
      <c r="E2201" s="4" t="str">
        <f>"053502010"</f>
        <v>053502010</v>
      </c>
      <c r="F2201" s="10">
        <v>40274</v>
      </c>
      <c r="G2201" s="11">
        <v>8529.7800000000007</v>
      </c>
      <c r="H2201" s="11">
        <v>8529.7800000000007</v>
      </c>
      <c r="I2201" s="4" t="s">
        <v>366</v>
      </c>
      <c r="J2201" s="4" t="s">
        <v>367</v>
      </c>
      <c r="K2201" s="11">
        <v>0</v>
      </c>
      <c r="L2201" s="4"/>
      <c r="M2201" s="4"/>
      <c r="N2201" s="11">
        <v>0</v>
      </c>
      <c r="O2201" s="4"/>
      <c r="P2201" s="4"/>
      <c r="Q2201" s="11">
        <v>0</v>
      </c>
      <c r="R2201" s="4"/>
      <c r="S2201" s="12"/>
    </row>
    <row r="2202" spans="1:19" x14ac:dyDescent="0.25">
      <c r="A2202" s="9" t="s">
        <v>571</v>
      </c>
      <c r="B2202" s="9" t="s">
        <v>571</v>
      </c>
      <c r="C2202" s="4">
        <v>201002659</v>
      </c>
      <c r="D2202" s="4" t="s">
        <v>2237</v>
      </c>
      <c r="E2202" s="4" t="str">
        <f>"052622010"</f>
        <v>052622010</v>
      </c>
      <c r="F2202" s="10">
        <v>40270</v>
      </c>
      <c r="G2202" s="11">
        <v>4000</v>
      </c>
      <c r="H2202" s="11">
        <v>4000</v>
      </c>
      <c r="I2202" s="4" t="s">
        <v>366</v>
      </c>
      <c r="J2202" s="4" t="s">
        <v>367</v>
      </c>
      <c r="K2202" s="11">
        <v>0</v>
      </c>
      <c r="L2202" s="4"/>
      <c r="M2202" s="4"/>
      <c r="N2202" s="11">
        <v>0</v>
      </c>
      <c r="O2202" s="4"/>
      <c r="P2202" s="4"/>
      <c r="Q2202" s="11">
        <v>0</v>
      </c>
      <c r="R2202" s="4"/>
      <c r="S2202" s="12"/>
    </row>
    <row r="2203" spans="1:19" x14ac:dyDescent="0.25">
      <c r="A2203" s="9" t="s">
        <v>571</v>
      </c>
      <c r="B2203" s="9" t="s">
        <v>571</v>
      </c>
      <c r="C2203" s="4">
        <v>201002665</v>
      </c>
      <c r="D2203" s="4" t="s">
        <v>2534</v>
      </c>
      <c r="E2203" s="4" t="str">
        <f>"052722010"</f>
        <v>052722010</v>
      </c>
      <c r="F2203" s="10">
        <v>40266</v>
      </c>
      <c r="G2203" s="11">
        <v>75000</v>
      </c>
      <c r="H2203" s="11">
        <v>60000</v>
      </c>
      <c r="I2203" s="4" t="s">
        <v>687</v>
      </c>
      <c r="J2203" s="4" t="s">
        <v>688</v>
      </c>
      <c r="K2203" s="11">
        <v>15000</v>
      </c>
      <c r="L2203" s="4" t="s">
        <v>687</v>
      </c>
      <c r="M2203" s="4" t="s">
        <v>688</v>
      </c>
      <c r="N2203" s="11">
        <v>0</v>
      </c>
      <c r="O2203" s="4"/>
      <c r="P2203" s="4"/>
      <c r="Q2203" s="11">
        <v>0</v>
      </c>
      <c r="R2203" s="4"/>
      <c r="S2203" s="12"/>
    </row>
    <row r="2204" spans="1:19" x14ac:dyDescent="0.25">
      <c r="A2204" s="9" t="s">
        <v>571</v>
      </c>
      <c r="B2204" s="9" t="s">
        <v>571</v>
      </c>
      <c r="C2204" s="4">
        <v>201002671</v>
      </c>
      <c r="D2204" s="4"/>
      <c r="E2204" s="4" t="str">
        <f>"057222010"</f>
        <v>057222010</v>
      </c>
      <c r="F2204" s="10">
        <v>40281</v>
      </c>
      <c r="G2204" s="11">
        <v>3452.95</v>
      </c>
      <c r="H2204" s="11">
        <v>3452.95</v>
      </c>
      <c r="I2204" s="4" t="s">
        <v>366</v>
      </c>
      <c r="J2204" s="4" t="s">
        <v>367</v>
      </c>
      <c r="K2204" s="11">
        <v>0</v>
      </c>
      <c r="L2204" s="4"/>
      <c r="M2204" s="4"/>
      <c r="N2204" s="11">
        <v>0</v>
      </c>
      <c r="O2204" s="4"/>
      <c r="P2204" s="4"/>
      <c r="Q2204" s="11">
        <v>0</v>
      </c>
      <c r="R2204" s="4"/>
      <c r="S2204" s="12"/>
    </row>
    <row r="2205" spans="1:19" x14ac:dyDescent="0.25">
      <c r="A2205" s="9" t="s">
        <v>571</v>
      </c>
      <c r="B2205" s="9" t="s">
        <v>571</v>
      </c>
      <c r="C2205" s="4">
        <v>201002672</v>
      </c>
      <c r="D2205" s="4" t="s">
        <v>2238</v>
      </c>
      <c r="E2205" s="4" t="str">
        <f>"058812010"</f>
        <v>058812010</v>
      </c>
      <c r="F2205" s="10">
        <v>40283</v>
      </c>
      <c r="G2205" s="11">
        <v>60000</v>
      </c>
      <c r="H2205" s="11">
        <v>60000</v>
      </c>
      <c r="I2205" s="4" t="s">
        <v>687</v>
      </c>
      <c r="J2205" s="4" t="s">
        <v>688</v>
      </c>
      <c r="K2205" s="11">
        <v>0</v>
      </c>
      <c r="L2205" s="4"/>
      <c r="M2205" s="4"/>
      <c r="N2205" s="11">
        <v>0</v>
      </c>
      <c r="O2205" s="4"/>
      <c r="P2205" s="4"/>
      <c r="Q2205" s="11">
        <v>0</v>
      </c>
      <c r="R2205" s="4"/>
      <c r="S2205" s="12"/>
    </row>
    <row r="2206" spans="1:19" x14ac:dyDescent="0.25">
      <c r="A2206" s="9" t="s">
        <v>571</v>
      </c>
      <c r="B2206" s="9" t="s">
        <v>571</v>
      </c>
      <c r="C2206" s="4">
        <v>201002672</v>
      </c>
      <c r="D2206" s="4" t="s">
        <v>2238</v>
      </c>
      <c r="E2206" s="4" t="str">
        <f>"058832010"</f>
        <v>058832010</v>
      </c>
      <c r="F2206" s="10">
        <v>40283</v>
      </c>
      <c r="G2206" s="11">
        <v>22500</v>
      </c>
      <c r="H2206" s="11">
        <v>22500</v>
      </c>
      <c r="I2206" s="4" t="s">
        <v>687</v>
      </c>
      <c r="J2206" s="4" t="s">
        <v>688</v>
      </c>
      <c r="K2206" s="11">
        <v>0</v>
      </c>
      <c r="L2206" s="4"/>
      <c r="M2206" s="4"/>
      <c r="N2206" s="11">
        <v>0</v>
      </c>
      <c r="O2206" s="4"/>
      <c r="P2206" s="4"/>
      <c r="Q2206" s="11">
        <v>0</v>
      </c>
      <c r="R2206" s="4"/>
      <c r="S2206" s="12"/>
    </row>
    <row r="2207" spans="1:19" x14ac:dyDescent="0.25">
      <c r="A2207" s="9" t="s">
        <v>571</v>
      </c>
      <c r="B2207" s="9" t="s">
        <v>571</v>
      </c>
      <c r="C2207" s="4">
        <v>201002692</v>
      </c>
      <c r="D2207" s="4"/>
      <c r="E2207" s="4" t="str">
        <f>"055412010"</f>
        <v>055412010</v>
      </c>
      <c r="F2207" s="10">
        <v>40273</v>
      </c>
      <c r="G2207" s="11">
        <v>4160.47</v>
      </c>
      <c r="H2207" s="11">
        <v>4160.47</v>
      </c>
      <c r="I2207" s="4" t="s">
        <v>366</v>
      </c>
      <c r="J2207" s="4" t="s">
        <v>367</v>
      </c>
      <c r="K2207" s="11">
        <v>0</v>
      </c>
      <c r="L2207" s="4"/>
      <c r="M2207" s="4"/>
      <c r="N2207" s="11">
        <v>0</v>
      </c>
      <c r="O2207" s="4"/>
      <c r="P2207" s="4"/>
      <c r="Q2207" s="11">
        <v>0</v>
      </c>
      <c r="R2207" s="4"/>
      <c r="S2207" s="12"/>
    </row>
    <row r="2208" spans="1:19" x14ac:dyDescent="0.25">
      <c r="A2208" s="9" t="s">
        <v>571</v>
      </c>
      <c r="B2208" s="9" t="s">
        <v>571</v>
      </c>
      <c r="C2208" s="4">
        <v>201002702</v>
      </c>
      <c r="D2208" s="4"/>
      <c r="E2208" s="4" t="str">
        <f>"053202010"</f>
        <v>053202010</v>
      </c>
      <c r="F2208" s="10">
        <v>40273</v>
      </c>
      <c r="G2208" s="11">
        <v>8075.96</v>
      </c>
      <c r="H2208" s="11">
        <v>8075.96</v>
      </c>
      <c r="I2208" s="4" t="s">
        <v>366</v>
      </c>
      <c r="J2208" s="4" t="s">
        <v>367</v>
      </c>
      <c r="K2208" s="11">
        <v>0</v>
      </c>
      <c r="L2208" s="4"/>
      <c r="M2208" s="4"/>
      <c r="N2208" s="11">
        <v>0</v>
      </c>
      <c r="O2208" s="4"/>
      <c r="P2208" s="4"/>
      <c r="Q2208" s="11">
        <v>0</v>
      </c>
      <c r="R2208" s="4"/>
      <c r="S2208" s="12"/>
    </row>
    <row r="2209" spans="1:19" x14ac:dyDescent="0.25">
      <c r="A2209" s="9" t="s">
        <v>571</v>
      </c>
      <c r="B2209" s="9" t="s">
        <v>571</v>
      </c>
      <c r="C2209" s="4">
        <v>201002737</v>
      </c>
      <c r="D2209" s="4"/>
      <c r="E2209" s="4" t="str">
        <f>"054362010"</f>
        <v>054362010</v>
      </c>
      <c r="F2209" s="10">
        <v>40270</v>
      </c>
      <c r="G2209" s="11">
        <v>85000</v>
      </c>
      <c r="H2209" s="11">
        <v>85000</v>
      </c>
      <c r="I2209" s="4" t="s">
        <v>687</v>
      </c>
      <c r="J2209" s="4" t="s">
        <v>688</v>
      </c>
      <c r="K2209" s="11">
        <v>0</v>
      </c>
      <c r="L2209" s="4"/>
      <c r="M2209" s="4"/>
      <c r="N2209" s="11">
        <v>0</v>
      </c>
      <c r="O2209" s="4"/>
      <c r="P2209" s="4"/>
      <c r="Q2209" s="11">
        <v>0</v>
      </c>
      <c r="R2209" s="4"/>
      <c r="S2209" s="12"/>
    </row>
    <row r="2210" spans="1:19" x14ac:dyDescent="0.25">
      <c r="A2210" s="9" t="s">
        <v>571</v>
      </c>
      <c r="B2210" s="9" t="s">
        <v>291</v>
      </c>
      <c r="C2210" s="4">
        <v>201002743</v>
      </c>
      <c r="D2210" s="4" t="s">
        <v>2239</v>
      </c>
      <c r="E2210" s="4" t="str">
        <f>"054042010"</f>
        <v>054042010</v>
      </c>
      <c r="F2210" s="10">
        <v>40270</v>
      </c>
      <c r="G2210" s="11">
        <v>75000</v>
      </c>
      <c r="H2210" s="11">
        <v>75000</v>
      </c>
      <c r="I2210" s="4" t="s">
        <v>72</v>
      </c>
      <c r="J2210" s="4" t="s">
        <v>73</v>
      </c>
      <c r="K2210" s="11">
        <v>0</v>
      </c>
      <c r="L2210" s="4"/>
      <c r="M2210" s="4"/>
      <c r="N2210" s="11">
        <v>0</v>
      </c>
      <c r="O2210" s="4"/>
      <c r="P2210" s="4"/>
      <c r="Q2210" s="11">
        <v>0</v>
      </c>
      <c r="R2210" s="4"/>
      <c r="S2210" s="12"/>
    </row>
    <row r="2211" spans="1:19" x14ac:dyDescent="0.25">
      <c r="A2211" s="9" t="s">
        <v>571</v>
      </c>
      <c r="B2211" s="9" t="s">
        <v>571</v>
      </c>
      <c r="C2211" s="4">
        <v>201002785</v>
      </c>
      <c r="D2211" s="4"/>
      <c r="E2211" s="4" t="str">
        <f>"055152010"</f>
        <v>055152010</v>
      </c>
      <c r="F2211" s="10">
        <v>40273</v>
      </c>
      <c r="G2211" s="11">
        <v>2508.88</v>
      </c>
      <c r="H2211" s="11">
        <v>2508.88</v>
      </c>
      <c r="I2211" s="4" t="s">
        <v>366</v>
      </c>
      <c r="J2211" s="4" t="s">
        <v>367</v>
      </c>
      <c r="K2211" s="11">
        <v>0</v>
      </c>
      <c r="L2211" s="4"/>
      <c r="M2211" s="4"/>
      <c r="N2211" s="11">
        <v>0</v>
      </c>
      <c r="O2211" s="4"/>
      <c r="P2211" s="4"/>
      <c r="Q2211" s="11">
        <v>0</v>
      </c>
      <c r="R2211" s="4"/>
      <c r="S2211" s="12"/>
    </row>
    <row r="2212" spans="1:19" x14ac:dyDescent="0.25">
      <c r="A2212" s="9" t="s">
        <v>571</v>
      </c>
      <c r="B2212" s="9" t="s">
        <v>571</v>
      </c>
      <c r="C2212" s="4">
        <v>201002786</v>
      </c>
      <c r="D2212" s="4"/>
      <c r="E2212" s="4" t="str">
        <f>"054942010"</f>
        <v>054942010</v>
      </c>
      <c r="F2212" s="10">
        <v>40281</v>
      </c>
      <c r="G2212" s="11">
        <v>18780</v>
      </c>
      <c r="H2212" s="11">
        <v>18780</v>
      </c>
      <c r="I2212" s="4" t="s">
        <v>54</v>
      </c>
      <c r="J2212" s="4" t="s">
        <v>55</v>
      </c>
      <c r="K2212" s="11">
        <v>0</v>
      </c>
      <c r="L2212" s="4"/>
      <c r="M2212" s="4"/>
      <c r="N2212" s="11">
        <v>0</v>
      </c>
      <c r="O2212" s="4"/>
      <c r="P2212" s="4"/>
      <c r="Q2212" s="11">
        <v>0</v>
      </c>
      <c r="R2212" s="4"/>
      <c r="S2212" s="12"/>
    </row>
    <row r="2213" spans="1:19" x14ac:dyDescent="0.25">
      <c r="A2213" s="9" t="s">
        <v>571</v>
      </c>
      <c r="B2213" s="9" t="s">
        <v>571</v>
      </c>
      <c r="C2213" s="4">
        <v>201002797</v>
      </c>
      <c r="D2213" s="4"/>
      <c r="E2213" s="4" t="str">
        <f>"054562010"</f>
        <v>054562010</v>
      </c>
      <c r="F2213" s="10">
        <v>40270</v>
      </c>
      <c r="G2213" s="11">
        <v>3600</v>
      </c>
      <c r="H2213" s="11">
        <v>3600</v>
      </c>
      <c r="I2213" s="4" t="s">
        <v>54</v>
      </c>
      <c r="J2213" s="4" t="s">
        <v>55</v>
      </c>
      <c r="K2213" s="11">
        <v>0</v>
      </c>
      <c r="L2213" s="4"/>
      <c r="M2213" s="4"/>
      <c r="N2213" s="11">
        <v>0</v>
      </c>
      <c r="O2213" s="4"/>
      <c r="P2213" s="4"/>
      <c r="Q2213" s="11">
        <v>0</v>
      </c>
      <c r="R2213" s="4"/>
      <c r="S2213" s="12"/>
    </row>
    <row r="2214" spans="1:19" x14ac:dyDescent="0.25">
      <c r="A2214" s="9" t="s">
        <v>571</v>
      </c>
      <c r="B2214" s="9" t="s">
        <v>571</v>
      </c>
      <c r="C2214" s="4">
        <v>201002810</v>
      </c>
      <c r="D2214" s="4" t="s">
        <v>2240</v>
      </c>
      <c r="E2214" s="4" t="str">
        <f>"055812010"</f>
        <v>055812010</v>
      </c>
      <c r="F2214" s="10">
        <v>40275</v>
      </c>
      <c r="G2214" s="11">
        <v>8000</v>
      </c>
      <c r="H2214" s="11">
        <v>8000</v>
      </c>
      <c r="I2214" s="4" t="s">
        <v>366</v>
      </c>
      <c r="J2214" s="4" t="s">
        <v>367</v>
      </c>
      <c r="K2214" s="11">
        <v>0</v>
      </c>
      <c r="L2214" s="4"/>
      <c r="M2214" s="4"/>
      <c r="N2214" s="11">
        <v>0</v>
      </c>
      <c r="O2214" s="4"/>
      <c r="P2214" s="4"/>
      <c r="Q2214" s="11">
        <v>0</v>
      </c>
      <c r="R2214" s="4"/>
      <c r="S2214" s="12"/>
    </row>
    <row r="2215" spans="1:19" x14ac:dyDescent="0.25">
      <c r="A2215" s="9" t="s">
        <v>571</v>
      </c>
      <c r="B2215" s="9" t="s">
        <v>571</v>
      </c>
      <c r="C2215" s="4">
        <v>201002829</v>
      </c>
      <c r="D2215" s="4" t="s">
        <v>2241</v>
      </c>
      <c r="E2215" s="4" t="str">
        <f>"055692010"</f>
        <v>055692010</v>
      </c>
      <c r="F2215" s="10">
        <v>40275</v>
      </c>
      <c r="G2215" s="11">
        <v>120000</v>
      </c>
      <c r="H2215" s="11">
        <v>120000</v>
      </c>
      <c r="I2215" s="4" t="s">
        <v>687</v>
      </c>
      <c r="J2215" s="4" t="s">
        <v>688</v>
      </c>
      <c r="K2215" s="11">
        <v>0</v>
      </c>
      <c r="L2215" s="4"/>
      <c r="M2215" s="4"/>
      <c r="N2215" s="11">
        <v>0</v>
      </c>
      <c r="O2215" s="4"/>
      <c r="P2215" s="4"/>
      <c r="Q2215" s="11">
        <v>0</v>
      </c>
      <c r="R2215" s="4"/>
      <c r="S2215" s="12"/>
    </row>
    <row r="2216" spans="1:19" x14ac:dyDescent="0.25">
      <c r="A2216" s="9" t="s">
        <v>571</v>
      </c>
      <c r="B2216" s="9" t="s">
        <v>571</v>
      </c>
      <c r="C2216" s="4">
        <v>201002830</v>
      </c>
      <c r="D2216" s="4" t="s">
        <v>2242</v>
      </c>
      <c r="E2216" s="4" t="str">
        <f>"056752010"</f>
        <v>056752010</v>
      </c>
      <c r="F2216" s="10">
        <v>40276</v>
      </c>
      <c r="G2216" s="11">
        <v>120000</v>
      </c>
      <c r="H2216" s="11">
        <v>120000</v>
      </c>
      <c r="I2216" s="4" t="s">
        <v>931</v>
      </c>
      <c r="J2216" s="4" t="s">
        <v>932</v>
      </c>
      <c r="K2216" s="11">
        <v>0</v>
      </c>
      <c r="L2216" s="4"/>
      <c r="M2216" s="4"/>
      <c r="N2216" s="11">
        <v>0</v>
      </c>
      <c r="O2216" s="4"/>
      <c r="P2216" s="4"/>
      <c r="Q2216" s="11">
        <v>0</v>
      </c>
      <c r="R2216" s="4"/>
      <c r="S2216" s="12"/>
    </row>
    <row r="2217" spans="1:19" x14ac:dyDescent="0.25">
      <c r="A2217" s="9" t="s">
        <v>571</v>
      </c>
      <c r="B2217" s="9" t="s">
        <v>571</v>
      </c>
      <c r="C2217" s="4">
        <v>201002840</v>
      </c>
      <c r="D2217" s="4" t="s">
        <v>2243</v>
      </c>
      <c r="E2217" s="4" t="str">
        <f>"061682010"</f>
        <v>061682010</v>
      </c>
      <c r="F2217" s="10">
        <v>40296</v>
      </c>
      <c r="G2217" s="11">
        <v>6500</v>
      </c>
      <c r="H2217" s="11">
        <v>6500</v>
      </c>
      <c r="I2217" s="4" t="s">
        <v>366</v>
      </c>
      <c r="J2217" s="4" t="s">
        <v>367</v>
      </c>
      <c r="K2217" s="11">
        <v>0</v>
      </c>
      <c r="L2217" s="4"/>
      <c r="M2217" s="4"/>
      <c r="N2217" s="11">
        <v>0</v>
      </c>
      <c r="O2217" s="4"/>
      <c r="P2217" s="4"/>
      <c r="Q2217" s="11">
        <v>0</v>
      </c>
      <c r="R2217" s="4"/>
      <c r="S2217" s="12"/>
    </row>
    <row r="2218" spans="1:19" x14ac:dyDescent="0.25">
      <c r="A2218" s="9" t="s">
        <v>571</v>
      </c>
      <c r="B2218" s="9" t="s">
        <v>571</v>
      </c>
      <c r="C2218" s="4">
        <v>201002848</v>
      </c>
      <c r="D2218" s="4"/>
      <c r="E2218" s="4" t="str">
        <f>"056112010"</f>
        <v>056112010</v>
      </c>
      <c r="F2218" s="10">
        <v>40275</v>
      </c>
      <c r="G2218" s="11">
        <v>15076.71</v>
      </c>
      <c r="H2218" s="11">
        <v>15076.71</v>
      </c>
      <c r="I2218" s="4" t="s">
        <v>366</v>
      </c>
      <c r="J2218" s="4" t="s">
        <v>367</v>
      </c>
      <c r="K2218" s="11">
        <v>0</v>
      </c>
      <c r="L2218" s="4"/>
      <c r="M2218" s="4"/>
      <c r="N2218" s="11">
        <v>0</v>
      </c>
      <c r="O2218" s="4"/>
      <c r="P2218" s="4"/>
      <c r="Q2218" s="11">
        <v>0</v>
      </c>
      <c r="R2218" s="4"/>
      <c r="S2218" s="12"/>
    </row>
    <row r="2219" spans="1:19" x14ac:dyDescent="0.25">
      <c r="A2219" s="9" t="s">
        <v>571</v>
      </c>
      <c r="B2219" s="9" t="s">
        <v>571</v>
      </c>
      <c r="C2219" s="4">
        <v>201002849</v>
      </c>
      <c r="D2219" s="4"/>
      <c r="E2219" s="4" t="str">
        <f>"056092010"</f>
        <v>056092010</v>
      </c>
      <c r="F2219" s="10">
        <v>40275</v>
      </c>
      <c r="G2219" s="11">
        <v>70000</v>
      </c>
      <c r="H2219" s="11">
        <v>70000</v>
      </c>
      <c r="I2219" s="4" t="s">
        <v>687</v>
      </c>
      <c r="J2219" s="4" t="s">
        <v>688</v>
      </c>
      <c r="K2219" s="11">
        <v>0</v>
      </c>
      <c r="L2219" s="4"/>
      <c r="M2219" s="4"/>
      <c r="N2219" s="11">
        <v>0</v>
      </c>
      <c r="O2219" s="4"/>
      <c r="P2219" s="4"/>
      <c r="Q2219" s="11">
        <v>0</v>
      </c>
      <c r="R2219" s="4"/>
      <c r="S2219" s="12"/>
    </row>
    <row r="2220" spans="1:19" x14ac:dyDescent="0.25">
      <c r="A2220" s="9" t="s">
        <v>571</v>
      </c>
      <c r="B2220" s="9" t="s">
        <v>571</v>
      </c>
      <c r="C2220" s="4">
        <v>201002857</v>
      </c>
      <c r="D2220" s="4"/>
      <c r="E2220" s="4" t="str">
        <f>"056432010"</f>
        <v>056432010</v>
      </c>
      <c r="F2220" s="10">
        <v>40276</v>
      </c>
      <c r="G2220" s="11">
        <v>150000</v>
      </c>
      <c r="H2220" s="11">
        <v>120000</v>
      </c>
      <c r="I2220" s="4" t="s">
        <v>687</v>
      </c>
      <c r="J2220" s="4" t="s">
        <v>688</v>
      </c>
      <c r="K2220" s="11">
        <v>30000</v>
      </c>
      <c r="L2220" s="4" t="s">
        <v>687</v>
      </c>
      <c r="M2220" s="4" t="s">
        <v>688</v>
      </c>
      <c r="N2220" s="11">
        <v>0</v>
      </c>
      <c r="O2220" s="4"/>
      <c r="P2220" s="4"/>
      <c r="Q2220" s="11">
        <v>0</v>
      </c>
      <c r="R2220" s="4"/>
      <c r="S2220" s="12"/>
    </row>
    <row r="2221" spans="1:19" x14ac:dyDescent="0.25">
      <c r="A2221" s="9" t="s">
        <v>571</v>
      </c>
      <c r="B2221" s="9" t="s">
        <v>571</v>
      </c>
      <c r="C2221" s="4">
        <v>201002860</v>
      </c>
      <c r="D2221" s="4"/>
      <c r="E2221" s="4" t="str">
        <f>"061442010"</f>
        <v>061442010</v>
      </c>
      <c r="F2221" s="10">
        <v>40291</v>
      </c>
      <c r="G2221" s="11">
        <v>13010</v>
      </c>
      <c r="H2221" s="11">
        <v>13010</v>
      </c>
      <c r="I2221" s="4" t="s">
        <v>687</v>
      </c>
      <c r="J2221" s="4" t="s">
        <v>688</v>
      </c>
      <c r="K2221" s="11">
        <v>0</v>
      </c>
      <c r="L2221" s="4"/>
      <c r="M2221" s="4"/>
      <c r="N2221" s="11">
        <v>0</v>
      </c>
      <c r="O2221" s="4"/>
      <c r="P2221" s="4"/>
      <c r="Q2221" s="11">
        <v>0</v>
      </c>
      <c r="R2221" s="4"/>
      <c r="S2221" s="12"/>
    </row>
    <row r="2222" spans="1:19" x14ac:dyDescent="0.25">
      <c r="A2222" s="9" t="s">
        <v>571</v>
      </c>
      <c r="B2222" s="9" t="s">
        <v>571</v>
      </c>
      <c r="C2222" s="4">
        <v>201002860</v>
      </c>
      <c r="D2222" s="4"/>
      <c r="E2222" s="4" t="str">
        <f>"061462010"</f>
        <v>061462010</v>
      </c>
      <c r="F2222" s="10">
        <v>40290</v>
      </c>
      <c r="G2222" s="11">
        <v>11434.8</v>
      </c>
      <c r="H2222" s="11">
        <v>11434.8</v>
      </c>
      <c r="I2222" s="4" t="s">
        <v>687</v>
      </c>
      <c r="J2222" s="4" t="s">
        <v>688</v>
      </c>
      <c r="K2222" s="11">
        <v>0</v>
      </c>
      <c r="L2222" s="4"/>
      <c r="M2222" s="4"/>
      <c r="N2222" s="11">
        <v>0</v>
      </c>
      <c r="O2222" s="4"/>
      <c r="P2222" s="4"/>
      <c r="Q2222" s="11">
        <v>0</v>
      </c>
      <c r="R2222" s="4"/>
      <c r="S2222" s="12"/>
    </row>
    <row r="2223" spans="1:19" x14ac:dyDescent="0.25">
      <c r="A2223" s="9" t="s">
        <v>571</v>
      </c>
      <c r="B2223" s="9" t="s">
        <v>571</v>
      </c>
      <c r="C2223" s="4">
        <v>201002867</v>
      </c>
      <c r="D2223" s="4"/>
      <c r="E2223" s="4" t="str">
        <f>"058192010"</f>
        <v>058192010</v>
      </c>
      <c r="F2223" s="10">
        <v>40283</v>
      </c>
      <c r="G2223" s="11">
        <v>90000</v>
      </c>
      <c r="H2223" s="11">
        <v>90000</v>
      </c>
      <c r="I2223" s="4" t="s">
        <v>687</v>
      </c>
      <c r="J2223" s="4" t="s">
        <v>688</v>
      </c>
      <c r="K2223" s="11">
        <v>0</v>
      </c>
      <c r="L2223" s="4"/>
      <c r="M2223" s="4"/>
      <c r="N2223" s="11">
        <v>0</v>
      </c>
      <c r="O2223" s="4"/>
      <c r="P2223" s="4"/>
      <c r="Q2223" s="11">
        <v>0</v>
      </c>
      <c r="R2223" s="4"/>
      <c r="S2223" s="12"/>
    </row>
    <row r="2224" spans="1:19" x14ac:dyDescent="0.25">
      <c r="A2224" s="9" t="s">
        <v>571</v>
      </c>
      <c r="B2224" s="9" t="s">
        <v>571</v>
      </c>
      <c r="C2224" s="4">
        <v>201002875</v>
      </c>
      <c r="D2224" s="4"/>
      <c r="E2224" s="4" t="str">
        <f>"056732010"</f>
        <v>056732010</v>
      </c>
      <c r="F2224" s="10">
        <v>40276</v>
      </c>
      <c r="G2224" s="11">
        <v>75000</v>
      </c>
      <c r="H2224" s="11">
        <v>75000</v>
      </c>
      <c r="I2224" s="4" t="s">
        <v>54</v>
      </c>
      <c r="J2224" s="4" t="s">
        <v>55</v>
      </c>
      <c r="K2224" s="11">
        <v>0</v>
      </c>
      <c r="L2224" s="4"/>
      <c r="M2224" s="4"/>
      <c r="N2224" s="11">
        <v>0</v>
      </c>
      <c r="O2224" s="4"/>
      <c r="P2224" s="4"/>
      <c r="Q2224" s="11">
        <v>0</v>
      </c>
      <c r="R2224" s="4"/>
      <c r="S2224" s="12"/>
    </row>
    <row r="2225" spans="1:19" x14ac:dyDescent="0.25">
      <c r="A2225" s="9" t="s">
        <v>571</v>
      </c>
      <c r="B2225" s="9" t="s">
        <v>571</v>
      </c>
      <c r="C2225" s="4">
        <v>201002876</v>
      </c>
      <c r="D2225" s="4" t="s">
        <v>2244</v>
      </c>
      <c r="E2225" s="4" t="str">
        <f>"058132010"</f>
        <v>058132010</v>
      </c>
      <c r="F2225" s="10">
        <v>40283</v>
      </c>
      <c r="G2225" s="11">
        <v>200000</v>
      </c>
      <c r="H2225" s="11">
        <v>200000</v>
      </c>
      <c r="I2225" s="4" t="s">
        <v>687</v>
      </c>
      <c r="J2225" s="4" t="s">
        <v>688</v>
      </c>
      <c r="K2225" s="11">
        <v>0</v>
      </c>
      <c r="L2225" s="4"/>
      <c r="M2225" s="4"/>
      <c r="N2225" s="11">
        <v>0</v>
      </c>
      <c r="O2225" s="4"/>
      <c r="P2225" s="4"/>
      <c r="Q2225" s="11">
        <v>0</v>
      </c>
      <c r="R2225" s="4"/>
      <c r="S2225" s="12"/>
    </row>
    <row r="2226" spans="1:19" x14ac:dyDescent="0.25">
      <c r="A2226" s="9" t="s">
        <v>571</v>
      </c>
      <c r="B2226" s="9" t="s">
        <v>571</v>
      </c>
      <c r="C2226" s="4">
        <v>201002897</v>
      </c>
      <c r="D2226" s="4"/>
      <c r="E2226" s="4" t="str">
        <f>"058532010"</f>
        <v>058532010</v>
      </c>
      <c r="F2226" s="10">
        <v>40283</v>
      </c>
      <c r="G2226" s="11">
        <v>3268.3</v>
      </c>
      <c r="H2226" s="11">
        <v>3268.3</v>
      </c>
      <c r="I2226" s="4" t="s">
        <v>54</v>
      </c>
      <c r="J2226" s="4" t="s">
        <v>55</v>
      </c>
      <c r="K2226" s="11">
        <v>0</v>
      </c>
      <c r="L2226" s="4"/>
      <c r="M2226" s="4"/>
      <c r="N2226" s="11">
        <v>0</v>
      </c>
      <c r="O2226" s="4"/>
      <c r="P2226" s="4"/>
      <c r="Q2226" s="11">
        <v>0</v>
      </c>
      <c r="R2226" s="4"/>
      <c r="S2226" s="12"/>
    </row>
    <row r="2227" spans="1:19" x14ac:dyDescent="0.25">
      <c r="A2227" s="9" t="s">
        <v>571</v>
      </c>
      <c r="B2227" s="9" t="s">
        <v>571</v>
      </c>
      <c r="C2227" s="4">
        <v>201002900</v>
      </c>
      <c r="D2227" s="4" t="s">
        <v>2245</v>
      </c>
      <c r="E2227" s="4" t="str">
        <f>"057362010"</f>
        <v>057362010</v>
      </c>
      <c r="F2227" s="10">
        <v>40296</v>
      </c>
      <c r="G2227" s="11">
        <v>30000</v>
      </c>
      <c r="H2227" s="11">
        <v>30000</v>
      </c>
      <c r="I2227" s="4" t="s">
        <v>931</v>
      </c>
      <c r="J2227" s="4" t="s">
        <v>932</v>
      </c>
      <c r="K2227" s="11">
        <v>0</v>
      </c>
      <c r="L2227" s="4"/>
      <c r="M2227" s="4"/>
      <c r="N2227" s="11">
        <v>0</v>
      </c>
      <c r="O2227" s="4"/>
      <c r="P2227" s="4"/>
      <c r="Q2227" s="11">
        <v>0</v>
      </c>
      <c r="R2227" s="4"/>
      <c r="S2227" s="12"/>
    </row>
    <row r="2228" spans="1:19" x14ac:dyDescent="0.25">
      <c r="A2228" s="9" t="s">
        <v>571</v>
      </c>
      <c r="B2228" s="9" t="s">
        <v>571</v>
      </c>
      <c r="C2228" s="4">
        <v>201002904</v>
      </c>
      <c r="D2228" s="4"/>
      <c r="E2228" s="4" t="str">
        <f>"057102010"</f>
        <v>057102010</v>
      </c>
      <c r="F2228" s="10">
        <v>40281</v>
      </c>
      <c r="G2228" s="11">
        <v>10000</v>
      </c>
      <c r="H2228" s="11">
        <v>10000</v>
      </c>
      <c r="I2228" s="4" t="s">
        <v>687</v>
      </c>
      <c r="J2228" s="4" t="s">
        <v>688</v>
      </c>
      <c r="K2228" s="11">
        <v>0</v>
      </c>
      <c r="L2228" s="4"/>
      <c r="M2228" s="4"/>
      <c r="N2228" s="11">
        <v>0</v>
      </c>
      <c r="O2228" s="4"/>
      <c r="P2228" s="4"/>
      <c r="Q2228" s="11">
        <v>0</v>
      </c>
      <c r="R2228" s="4"/>
      <c r="S2228" s="12"/>
    </row>
    <row r="2229" spans="1:19" x14ac:dyDescent="0.25">
      <c r="A2229" s="9" t="s">
        <v>571</v>
      </c>
      <c r="B2229" s="9" t="s">
        <v>571</v>
      </c>
      <c r="C2229" s="4">
        <v>201002907</v>
      </c>
      <c r="D2229" s="4"/>
      <c r="E2229" s="4" t="str">
        <f>"057542010"</f>
        <v>057542010</v>
      </c>
      <c r="F2229" s="10">
        <v>40296</v>
      </c>
      <c r="G2229" s="11">
        <v>6220.35</v>
      </c>
      <c r="H2229" s="11">
        <v>6220.35</v>
      </c>
      <c r="I2229" s="4" t="s">
        <v>366</v>
      </c>
      <c r="J2229" s="4" t="s">
        <v>367</v>
      </c>
      <c r="K2229" s="11">
        <v>0</v>
      </c>
      <c r="L2229" s="4"/>
      <c r="M2229" s="4"/>
      <c r="N2229" s="11">
        <v>0</v>
      </c>
      <c r="O2229" s="4"/>
      <c r="P2229" s="4"/>
      <c r="Q2229" s="11">
        <v>0</v>
      </c>
      <c r="R2229" s="4"/>
      <c r="S2229" s="12"/>
    </row>
    <row r="2230" spans="1:19" x14ac:dyDescent="0.25">
      <c r="A2230" s="9" t="s">
        <v>571</v>
      </c>
      <c r="B2230" s="9" t="s">
        <v>571</v>
      </c>
      <c r="C2230" s="4">
        <v>201002924</v>
      </c>
      <c r="D2230" s="4"/>
      <c r="E2230" s="4" t="str">
        <f>"085982010"</f>
        <v>085982010</v>
      </c>
      <c r="F2230" s="10">
        <v>40357</v>
      </c>
      <c r="G2230" s="11">
        <v>75000</v>
      </c>
      <c r="H2230" s="11">
        <v>75000</v>
      </c>
      <c r="I2230" s="4" t="s">
        <v>687</v>
      </c>
      <c r="J2230" s="4" t="s">
        <v>688</v>
      </c>
      <c r="K2230" s="11">
        <v>0</v>
      </c>
      <c r="L2230" s="4"/>
      <c r="M2230" s="4"/>
      <c r="N2230" s="11">
        <v>0</v>
      </c>
      <c r="O2230" s="4"/>
      <c r="P2230" s="4"/>
      <c r="Q2230" s="11">
        <v>0</v>
      </c>
      <c r="R2230" s="4"/>
      <c r="S2230" s="12"/>
    </row>
    <row r="2231" spans="1:19" x14ac:dyDescent="0.25">
      <c r="A2231" s="9" t="s">
        <v>571</v>
      </c>
      <c r="B2231" s="9" t="s">
        <v>571</v>
      </c>
      <c r="C2231" s="4">
        <v>201002925</v>
      </c>
      <c r="D2231" s="4" t="s">
        <v>2246</v>
      </c>
      <c r="E2231" s="4" t="str">
        <f>"057742010"</f>
        <v>057742010</v>
      </c>
      <c r="F2231" s="10">
        <v>40284</v>
      </c>
      <c r="G2231" s="11">
        <v>20000</v>
      </c>
      <c r="H2231" s="11">
        <v>20000</v>
      </c>
      <c r="I2231" s="4" t="s">
        <v>687</v>
      </c>
      <c r="J2231" s="4" t="s">
        <v>688</v>
      </c>
      <c r="K2231" s="11">
        <v>0</v>
      </c>
      <c r="L2231" s="4"/>
      <c r="M2231" s="4"/>
      <c r="N2231" s="11">
        <v>0</v>
      </c>
      <c r="O2231" s="4"/>
      <c r="P2231" s="4"/>
      <c r="Q2231" s="11">
        <v>0</v>
      </c>
      <c r="R2231" s="4"/>
      <c r="S2231" s="12"/>
    </row>
    <row r="2232" spans="1:19" x14ac:dyDescent="0.25">
      <c r="A2232" s="9" t="s">
        <v>571</v>
      </c>
      <c r="B2232" s="9" t="s">
        <v>571</v>
      </c>
      <c r="C2232" s="4">
        <v>201002931</v>
      </c>
      <c r="D2232" s="4"/>
      <c r="E2232" s="4" t="str">
        <f>"057832010"</f>
        <v>057832010</v>
      </c>
      <c r="F2232" s="10">
        <v>40284</v>
      </c>
      <c r="G2232" s="11">
        <v>93000</v>
      </c>
      <c r="H2232" s="11">
        <v>93000</v>
      </c>
      <c r="I2232" s="4" t="s">
        <v>687</v>
      </c>
      <c r="J2232" s="4" t="s">
        <v>688</v>
      </c>
      <c r="K2232" s="11">
        <v>0</v>
      </c>
      <c r="L2232" s="4"/>
      <c r="M2232" s="4"/>
      <c r="N2232" s="11">
        <v>0</v>
      </c>
      <c r="O2232" s="4"/>
      <c r="P2232" s="4"/>
      <c r="Q2232" s="11">
        <v>0</v>
      </c>
      <c r="R2232" s="4"/>
      <c r="S2232" s="12"/>
    </row>
    <row r="2233" spans="1:19" x14ac:dyDescent="0.25">
      <c r="A2233" s="9" t="s">
        <v>571</v>
      </c>
      <c r="B2233" s="9" t="s">
        <v>571</v>
      </c>
      <c r="C2233" s="4">
        <v>201002934</v>
      </c>
      <c r="D2233" s="4"/>
      <c r="E2233" s="4" t="str">
        <f>"059072010"</f>
        <v>059072010</v>
      </c>
      <c r="F2233" s="10">
        <v>40284</v>
      </c>
      <c r="G2233" s="11">
        <v>100000</v>
      </c>
      <c r="H2233" s="11">
        <v>100000</v>
      </c>
      <c r="I2233" s="4" t="s">
        <v>687</v>
      </c>
      <c r="J2233" s="4" t="s">
        <v>688</v>
      </c>
      <c r="K2233" s="11">
        <v>0</v>
      </c>
      <c r="L2233" s="4"/>
      <c r="M2233" s="4"/>
      <c r="N2233" s="11">
        <v>0</v>
      </c>
      <c r="O2233" s="4"/>
      <c r="P2233" s="4"/>
      <c r="Q2233" s="11">
        <v>0</v>
      </c>
      <c r="R2233" s="4"/>
      <c r="S2233" s="12"/>
    </row>
    <row r="2234" spans="1:19" x14ac:dyDescent="0.25">
      <c r="A2234" s="9" t="s">
        <v>571</v>
      </c>
      <c r="B2234" s="9" t="s">
        <v>571</v>
      </c>
      <c r="C2234" s="4">
        <v>201002946</v>
      </c>
      <c r="D2234" s="4"/>
      <c r="E2234" s="4" t="str">
        <f>"058632010"</f>
        <v>058632010</v>
      </c>
      <c r="F2234" s="10">
        <v>40283</v>
      </c>
      <c r="G2234" s="11">
        <v>5000</v>
      </c>
      <c r="H2234" s="11">
        <v>5000</v>
      </c>
      <c r="I2234" s="4" t="s">
        <v>687</v>
      </c>
      <c r="J2234" s="4" t="s">
        <v>688</v>
      </c>
      <c r="K2234" s="11">
        <v>0</v>
      </c>
      <c r="L2234" s="4"/>
      <c r="M2234" s="4"/>
      <c r="N2234" s="11">
        <v>0</v>
      </c>
      <c r="O2234" s="4"/>
      <c r="P2234" s="4"/>
      <c r="Q2234" s="11">
        <v>0</v>
      </c>
      <c r="R2234" s="4"/>
      <c r="S2234" s="12"/>
    </row>
    <row r="2235" spans="1:19" x14ac:dyDescent="0.25">
      <c r="A2235" s="9" t="s">
        <v>571</v>
      </c>
      <c r="B2235" s="9" t="s">
        <v>571</v>
      </c>
      <c r="C2235" s="4">
        <v>201002973</v>
      </c>
      <c r="D2235" s="4"/>
      <c r="E2235" s="4" t="str">
        <f>"058432010"</f>
        <v>058432010</v>
      </c>
      <c r="F2235" s="10">
        <v>40284</v>
      </c>
      <c r="G2235" s="11">
        <v>6000</v>
      </c>
      <c r="H2235" s="11">
        <v>6000</v>
      </c>
      <c r="I2235" s="4" t="s">
        <v>687</v>
      </c>
      <c r="J2235" s="4" t="s">
        <v>688</v>
      </c>
      <c r="K2235" s="11">
        <v>0</v>
      </c>
      <c r="L2235" s="4"/>
      <c r="M2235" s="4"/>
      <c r="N2235" s="11">
        <v>0</v>
      </c>
      <c r="O2235" s="4"/>
      <c r="P2235" s="4"/>
      <c r="Q2235" s="11">
        <v>0</v>
      </c>
      <c r="R2235" s="4"/>
      <c r="S2235" s="12"/>
    </row>
    <row r="2236" spans="1:19" x14ac:dyDescent="0.25">
      <c r="A2236" s="9" t="s">
        <v>571</v>
      </c>
      <c r="B2236" s="9" t="s">
        <v>571</v>
      </c>
      <c r="C2236" s="4">
        <v>201003000</v>
      </c>
      <c r="D2236" s="4"/>
      <c r="E2236" s="4" t="str">
        <f>"060142010"</f>
        <v>060142010</v>
      </c>
      <c r="F2236" s="10">
        <v>40289</v>
      </c>
      <c r="G2236" s="11">
        <v>8000</v>
      </c>
      <c r="H2236" s="11">
        <v>8000</v>
      </c>
      <c r="I2236" s="4" t="s">
        <v>687</v>
      </c>
      <c r="J2236" s="4" t="s">
        <v>688</v>
      </c>
      <c r="K2236" s="11">
        <v>0</v>
      </c>
      <c r="L2236" s="4"/>
      <c r="M2236" s="4"/>
      <c r="N2236" s="11">
        <v>0</v>
      </c>
      <c r="O2236" s="4"/>
      <c r="P2236" s="4"/>
      <c r="Q2236" s="11">
        <v>0</v>
      </c>
      <c r="R2236" s="4"/>
      <c r="S2236" s="12"/>
    </row>
    <row r="2237" spans="1:19" x14ac:dyDescent="0.25">
      <c r="A2237" s="9" t="s">
        <v>571</v>
      </c>
      <c r="B2237" s="9" t="s">
        <v>571</v>
      </c>
      <c r="C2237" s="4">
        <v>201003001</v>
      </c>
      <c r="D2237" s="4"/>
      <c r="E2237" s="4" t="str">
        <f>"060102010"</f>
        <v>060102010</v>
      </c>
      <c r="F2237" s="10">
        <v>40289</v>
      </c>
      <c r="G2237" s="11">
        <v>4504.1400000000003</v>
      </c>
      <c r="H2237" s="11">
        <v>4504.1400000000003</v>
      </c>
      <c r="I2237" s="4" t="s">
        <v>366</v>
      </c>
      <c r="J2237" s="4" t="s">
        <v>367</v>
      </c>
      <c r="K2237" s="11">
        <v>0</v>
      </c>
      <c r="L2237" s="4"/>
      <c r="M2237" s="4"/>
      <c r="N2237" s="11">
        <v>0</v>
      </c>
      <c r="O2237" s="4"/>
      <c r="P2237" s="4"/>
      <c r="Q2237" s="11">
        <v>0</v>
      </c>
      <c r="R2237" s="4"/>
      <c r="S2237" s="12"/>
    </row>
    <row r="2238" spans="1:19" x14ac:dyDescent="0.25">
      <c r="A2238" s="9" t="s">
        <v>571</v>
      </c>
      <c r="B2238" s="9" t="s">
        <v>571</v>
      </c>
      <c r="C2238" s="4">
        <v>201003003</v>
      </c>
      <c r="D2238" s="4" t="s">
        <v>2247</v>
      </c>
      <c r="E2238" s="4" t="str">
        <f>"060162010"</f>
        <v>060162010</v>
      </c>
      <c r="F2238" s="10">
        <v>40289</v>
      </c>
      <c r="G2238" s="11">
        <v>100000</v>
      </c>
      <c r="H2238" s="11">
        <v>100000</v>
      </c>
      <c r="I2238" s="4" t="s">
        <v>687</v>
      </c>
      <c r="J2238" s="4" t="s">
        <v>688</v>
      </c>
      <c r="K2238" s="11">
        <v>0</v>
      </c>
      <c r="L2238" s="4"/>
      <c r="M2238" s="4"/>
      <c r="N2238" s="11">
        <v>0</v>
      </c>
      <c r="O2238" s="4"/>
      <c r="P2238" s="4"/>
      <c r="Q2238" s="11">
        <v>0</v>
      </c>
      <c r="R2238" s="4"/>
      <c r="S2238" s="12"/>
    </row>
    <row r="2239" spans="1:19" x14ac:dyDescent="0.25">
      <c r="A2239" s="9" t="s">
        <v>571</v>
      </c>
      <c r="B2239" s="9" t="s">
        <v>571</v>
      </c>
      <c r="C2239" s="4">
        <v>201003012</v>
      </c>
      <c r="D2239" s="4"/>
      <c r="E2239" s="4" t="str">
        <f>"059292010"</f>
        <v>059292010</v>
      </c>
      <c r="F2239" s="10">
        <v>40284</v>
      </c>
      <c r="G2239" s="11">
        <v>2856.36</v>
      </c>
      <c r="H2239" s="11">
        <v>2856.36</v>
      </c>
      <c r="I2239" s="4" t="s">
        <v>366</v>
      </c>
      <c r="J2239" s="4" t="s">
        <v>367</v>
      </c>
      <c r="K2239" s="11">
        <v>0</v>
      </c>
      <c r="L2239" s="4"/>
      <c r="M2239" s="4"/>
      <c r="N2239" s="11">
        <v>0</v>
      </c>
      <c r="O2239" s="4"/>
      <c r="P2239" s="4"/>
      <c r="Q2239" s="11">
        <v>0</v>
      </c>
      <c r="R2239" s="4"/>
      <c r="S2239" s="12"/>
    </row>
    <row r="2240" spans="1:19" x14ac:dyDescent="0.25">
      <c r="A2240" s="9" t="s">
        <v>571</v>
      </c>
      <c r="B2240" s="9" t="s">
        <v>571</v>
      </c>
      <c r="C2240" s="4">
        <v>201003014</v>
      </c>
      <c r="D2240" s="4"/>
      <c r="E2240" s="4" t="str">
        <f>"059372010"</f>
        <v>059372010</v>
      </c>
      <c r="F2240" s="10">
        <v>40287</v>
      </c>
      <c r="G2240" s="11">
        <v>150000</v>
      </c>
      <c r="H2240" s="11">
        <v>150000</v>
      </c>
      <c r="I2240" s="4" t="s">
        <v>687</v>
      </c>
      <c r="J2240" s="4" t="s">
        <v>688</v>
      </c>
      <c r="K2240" s="11">
        <v>0</v>
      </c>
      <c r="L2240" s="4"/>
      <c r="M2240" s="4"/>
      <c r="N2240" s="11">
        <v>0</v>
      </c>
      <c r="O2240" s="4"/>
      <c r="P2240" s="4"/>
      <c r="Q2240" s="11">
        <v>0</v>
      </c>
      <c r="R2240" s="4"/>
      <c r="S2240" s="12"/>
    </row>
    <row r="2241" spans="1:19" x14ac:dyDescent="0.25">
      <c r="A2241" s="9" t="s">
        <v>571</v>
      </c>
      <c r="B2241" s="9" t="s">
        <v>571</v>
      </c>
      <c r="C2241" s="4">
        <v>201003017</v>
      </c>
      <c r="D2241" s="4" t="s">
        <v>2248</v>
      </c>
      <c r="E2241" s="4" t="str">
        <f>"059352010"</f>
        <v>059352010</v>
      </c>
      <c r="F2241" s="10">
        <v>40287</v>
      </c>
      <c r="G2241" s="11">
        <v>50000</v>
      </c>
      <c r="H2241" s="11">
        <v>50000</v>
      </c>
      <c r="I2241" s="4" t="s">
        <v>366</v>
      </c>
      <c r="J2241" s="4" t="s">
        <v>367</v>
      </c>
      <c r="K2241" s="11">
        <v>0</v>
      </c>
      <c r="L2241" s="4"/>
      <c r="M2241" s="4"/>
      <c r="N2241" s="11">
        <v>0</v>
      </c>
      <c r="O2241" s="4"/>
      <c r="P2241" s="4"/>
      <c r="Q2241" s="11">
        <v>0</v>
      </c>
      <c r="R2241" s="4"/>
      <c r="S2241" s="12"/>
    </row>
    <row r="2242" spans="1:19" x14ac:dyDescent="0.25">
      <c r="A2242" s="9" t="s">
        <v>571</v>
      </c>
      <c r="B2242" s="9" t="s">
        <v>571</v>
      </c>
      <c r="C2242" s="4">
        <v>201003019</v>
      </c>
      <c r="D2242" s="4"/>
      <c r="E2242" s="4" t="str">
        <f>"059552010"</f>
        <v>059552010</v>
      </c>
      <c r="F2242" s="10">
        <v>40287</v>
      </c>
      <c r="G2242" s="11">
        <v>4742.01</v>
      </c>
      <c r="H2242" s="11">
        <v>4742.01</v>
      </c>
      <c r="I2242" s="4" t="s">
        <v>366</v>
      </c>
      <c r="J2242" s="4" t="s">
        <v>367</v>
      </c>
      <c r="K2242" s="11">
        <v>0</v>
      </c>
      <c r="L2242" s="4"/>
      <c r="M2242" s="4"/>
      <c r="N2242" s="11">
        <v>0</v>
      </c>
      <c r="O2242" s="4"/>
      <c r="P2242" s="4"/>
      <c r="Q2242" s="11">
        <v>0</v>
      </c>
      <c r="R2242" s="4"/>
      <c r="S2242" s="12"/>
    </row>
    <row r="2243" spans="1:19" x14ac:dyDescent="0.25">
      <c r="A2243" s="9" t="s">
        <v>571</v>
      </c>
      <c r="B2243" s="9" t="s">
        <v>571</v>
      </c>
      <c r="C2243" s="4">
        <v>201003024</v>
      </c>
      <c r="D2243" s="4"/>
      <c r="E2243" s="4" t="str">
        <f>"063222010"</f>
        <v>063222010</v>
      </c>
      <c r="F2243" s="10">
        <v>40297</v>
      </c>
      <c r="G2243" s="11">
        <v>4807.95</v>
      </c>
      <c r="H2243" s="11">
        <v>4807.95</v>
      </c>
      <c r="I2243" s="4" t="s">
        <v>54</v>
      </c>
      <c r="J2243" s="4" t="s">
        <v>55</v>
      </c>
      <c r="K2243" s="11">
        <v>0</v>
      </c>
      <c r="L2243" s="4"/>
      <c r="M2243" s="4"/>
      <c r="N2243" s="11">
        <v>0</v>
      </c>
      <c r="O2243" s="4"/>
      <c r="P2243" s="4"/>
      <c r="Q2243" s="11">
        <v>0</v>
      </c>
      <c r="R2243" s="4"/>
      <c r="S2243" s="12"/>
    </row>
    <row r="2244" spans="1:19" x14ac:dyDescent="0.25">
      <c r="A2244" s="9" t="s">
        <v>571</v>
      </c>
      <c r="B2244" s="9" t="s">
        <v>571</v>
      </c>
      <c r="C2244" s="4">
        <v>201003041</v>
      </c>
      <c r="D2244" s="4"/>
      <c r="E2244" s="4" t="str">
        <f>"060222010"</f>
        <v>060222010</v>
      </c>
      <c r="F2244" s="10">
        <v>40289</v>
      </c>
      <c r="G2244" s="11">
        <v>25000</v>
      </c>
      <c r="H2244" s="11">
        <v>25000</v>
      </c>
      <c r="I2244" s="4" t="s">
        <v>687</v>
      </c>
      <c r="J2244" s="4" t="s">
        <v>688</v>
      </c>
      <c r="K2244" s="11">
        <v>0</v>
      </c>
      <c r="L2244" s="4"/>
      <c r="M2244" s="4"/>
      <c r="N2244" s="11">
        <v>0</v>
      </c>
      <c r="O2244" s="4"/>
      <c r="P2244" s="4"/>
      <c r="Q2244" s="11">
        <v>0</v>
      </c>
      <c r="R2244" s="4"/>
      <c r="S2244" s="12"/>
    </row>
    <row r="2245" spans="1:19" x14ac:dyDescent="0.25">
      <c r="A2245" s="9" t="s">
        <v>571</v>
      </c>
      <c r="B2245" s="9" t="s">
        <v>571</v>
      </c>
      <c r="C2245" s="4">
        <v>201003041</v>
      </c>
      <c r="D2245" s="4"/>
      <c r="E2245" s="4" t="str">
        <f>"060242010"</f>
        <v>060242010</v>
      </c>
      <c r="F2245" s="10">
        <v>40289</v>
      </c>
      <c r="G2245" s="11">
        <v>32688</v>
      </c>
      <c r="H2245" s="11">
        <v>32688</v>
      </c>
      <c r="I2245" s="4" t="s">
        <v>687</v>
      </c>
      <c r="J2245" s="4" t="s">
        <v>688</v>
      </c>
      <c r="K2245" s="11">
        <v>0</v>
      </c>
      <c r="L2245" s="4"/>
      <c r="M2245" s="4"/>
      <c r="N2245" s="11">
        <v>0</v>
      </c>
      <c r="O2245" s="4"/>
      <c r="P2245" s="4"/>
      <c r="Q2245" s="11">
        <v>0</v>
      </c>
      <c r="R2245" s="4"/>
      <c r="S2245" s="12"/>
    </row>
    <row r="2246" spans="1:19" x14ac:dyDescent="0.25">
      <c r="A2246" s="9" t="s">
        <v>571</v>
      </c>
      <c r="B2246" s="9" t="s">
        <v>571</v>
      </c>
      <c r="C2246" s="4">
        <v>201003063</v>
      </c>
      <c r="D2246" s="4" t="s">
        <v>2249</v>
      </c>
      <c r="E2246" s="4" t="str">
        <f>"061062010"</f>
        <v>061062010</v>
      </c>
      <c r="F2246" s="10">
        <v>40291</v>
      </c>
      <c r="G2246" s="11">
        <v>7500</v>
      </c>
      <c r="H2246" s="11">
        <v>7500</v>
      </c>
      <c r="I2246" s="4" t="s">
        <v>54</v>
      </c>
      <c r="J2246" s="4" t="s">
        <v>55</v>
      </c>
      <c r="K2246" s="11">
        <v>0</v>
      </c>
      <c r="L2246" s="4"/>
      <c r="M2246" s="4"/>
      <c r="N2246" s="11">
        <v>0</v>
      </c>
      <c r="O2246" s="4"/>
      <c r="P2246" s="4"/>
      <c r="Q2246" s="11">
        <v>0</v>
      </c>
      <c r="R2246" s="4"/>
      <c r="S2246" s="12"/>
    </row>
    <row r="2247" spans="1:19" x14ac:dyDescent="0.25">
      <c r="A2247" s="9" t="s">
        <v>571</v>
      </c>
      <c r="B2247" s="9" t="s">
        <v>571</v>
      </c>
      <c r="C2247" s="4">
        <v>201003089</v>
      </c>
      <c r="D2247" s="4" t="s">
        <v>2250</v>
      </c>
      <c r="E2247" s="4" t="str">
        <f>"062082010"</f>
        <v>062082010</v>
      </c>
      <c r="F2247" s="10">
        <v>40295</v>
      </c>
      <c r="G2247" s="11">
        <v>300000</v>
      </c>
      <c r="H2247" s="11">
        <v>300000</v>
      </c>
      <c r="I2247" s="4" t="s">
        <v>687</v>
      </c>
      <c r="J2247" s="4" t="s">
        <v>688</v>
      </c>
      <c r="K2247" s="11">
        <v>0</v>
      </c>
      <c r="L2247" s="4"/>
      <c r="M2247" s="4"/>
      <c r="N2247" s="11">
        <v>0</v>
      </c>
      <c r="O2247" s="4"/>
      <c r="P2247" s="4"/>
      <c r="Q2247" s="11">
        <v>0</v>
      </c>
      <c r="R2247" s="4"/>
      <c r="S2247" s="12"/>
    </row>
    <row r="2248" spans="1:19" x14ac:dyDescent="0.25">
      <c r="A2248" s="9" t="s">
        <v>571</v>
      </c>
      <c r="B2248" s="9" t="s">
        <v>571</v>
      </c>
      <c r="C2248" s="4">
        <v>201003112</v>
      </c>
      <c r="D2248" s="4" t="s">
        <v>2251</v>
      </c>
      <c r="E2248" s="4" t="str">
        <f>"061782010"</f>
        <v>061782010</v>
      </c>
      <c r="F2248" s="10">
        <v>40295</v>
      </c>
      <c r="G2248" s="11">
        <v>125000</v>
      </c>
      <c r="H2248" s="11">
        <v>125000</v>
      </c>
      <c r="I2248" s="4" t="s">
        <v>687</v>
      </c>
      <c r="J2248" s="4" t="s">
        <v>688</v>
      </c>
      <c r="K2248" s="11">
        <v>0</v>
      </c>
      <c r="L2248" s="4"/>
      <c r="M2248" s="4"/>
      <c r="N2248" s="11">
        <v>0</v>
      </c>
      <c r="O2248" s="4"/>
      <c r="P2248" s="4"/>
      <c r="Q2248" s="11">
        <v>0</v>
      </c>
      <c r="R2248" s="4"/>
      <c r="S2248" s="12"/>
    </row>
    <row r="2249" spans="1:19" x14ac:dyDescent="0.25">
      <c r="A2249" s="9" t="s">
        <v>571</v>
      </c>
      <c r="B2249" s="9" t="s">
        <v>571</v>
      </c>
      <c r="C2249" s="4">
        <v>201003114</v>
      </c>
      <c r="D2249" s="4" t="s">
        <v>2252</v>
      </c>
      <c r="E2249" s="4" t="str">
        <f>"062482010"</f>
        <v>062482010</v>
      </c>
      <c r="F2249" s="10">
        <v>40296</v>
      </c>
      <c r="G2249" s="11">
        <v>5839.08</v>
      </c>
      <c r="H2249" s="11">
        <v>5839.08</v>
      </c>
      <c r="I2249" s="4" t="s">
        <v>366</v>
      </c>
      <c r="J2249" s="4" t="s">
        <v>367</v>
      </c>
      <c r="K2249" s="11">
        <v>0</v>
      </c>
      <c r="L2249" s="4"/>
      <c r="M2249" s="4"/>
      <c r="N2249" s="11">
        <v>0</v>
      </c>
      <c r="O2249" s="4"/>
      <c r="P2249" s="4"/>
      <c r="Q2249" s="11">
        <v>0</v>
      </c>
      <c r="R2249" s="4"/>
      <c r="S2249" s="12"/>
    </row>
    <row r="2250" spans="1:19" x14ac:dyDescent="0.25">
      <c r="A2250" s="9" t="s">
        <v>571</v>
      </c>
      <c r="B2250" s="9" t="s">
        <v>571</v>
      </c>
      <c r="C2250" s="4">
        <v>201003223</v>
      </c>
      <c r="D2250" s="4"/>
      <c r="E2250" s="4" t="str">
        <f>"066022010"</f>
        <v>066022010</v>
      </c>
      <c r="F2250" s="10">
        <v>40305</v>
      </c>
      <c r="G2250" s="11">
        <v>14375</v>
      </c>
      <c r="H2250" s="11">
        <v>14375</v>
      </c>
      <c r="I2250" s="4" t="s">
        <v>366</v>
      </c>
      <c r="J2250" s="4" t="s">
        <v>367</v>
      </c>
      <c r="K2250" s="11">
        <v>0</v>
      </c>
      <c r="L2250" s="4"/>
      <c r="M2250" s="4"/>
      <c r="N2250" s="11">
        <v>0</v>
      </c>
      <c r="O2250" s="4"/>
      <c r="P2250" s="4"/>
      <c r="Q2250" s="11">
        <v>0</v>
      </c>
      <c r="R2250" s="4"/>
      <c r="S2250" s="12"/>
    </row>
    <row r="2251" spans="1:19" x14ac:dyDescent="0.25">
      <c r="A2251" s="9" t="s">
        <v>571</v>
      </c>
      <c r="B2251" s="9" t="s">
        <v>571</v>
      </c>
      <c r="C2251" s="4">
        <v>201003245</v>
      </c>
      <c r="D2251" s="4" t="s">
        <v>2253</v>
      </c>
      <c r="E2251" s="4" t="str">
        <f>"091722010"</f>
        <v>091722010</v>
      </c>
      <c r="F2251" s="10">
        <v>40368</v>
      </c>
      <c r="G2251" s="11">
        <v>10000</v>
      </c>
      <c r="H2251" s="11">
        <v>10000</v>
      </c>
      <c r="I2251" s="4" t="s">
        <v>687</v>
      </c>
      <c r="J2251" s="4" t="s">
        <v>688</v>
      </c>
      <c r="K2251" s="11">
        <v>0</v>
      </c>
      <c r="L2251" s="4"/>
      <c r="M2251" s="4"/>
      <c r="N2251" s="11">
        <v>0</v>
      </c>
      <c r="O2251" s="4"/>
      <c r="P2251" s="4"/>
      <c r="Q2251" s="11">
        <v>0</v>
      </c>
      <c r="R2251" s="4"/>
      <c r="S2251" s="12"/>
    </row>
    <row r="2252" spans="1:19" x14ac:dyDescent="0.25">
      <c r="A2252" s="9" t="s">
        <v>571</v>
      </c>
      <c r="B2252" s="9" t="s">
        <v>571</v>
      </c>
      <c r="C2252" s="4">
        <v>201003248</v>
      </c>
      <c r="D2252" s="4" t="s">
        <v>2254</v>
      </c>
      <c r="E2252" s="4" t="str">
        <f>"066042010"</f>
        <v>066042010</v>
      </c>
      <c r="F2252" s="10">
        <v>40308</v>
      </c>
      <c r="G2252" s="11">
        <v>6000</v>
      </c>
      <c r="H2252" s="11">
        <v>6000</v>
      </c>
      <c r="I2252" s="4" t="s">
        <v>366</v>
      </c>
      <c r="J2252" s="4" t="s">
        <v>367</v>
      </c>
      <c r="K2252" s="11">
        <v>0</v>
      </c>
      <c r="L2252" s="4"/>
      <c r="M2252" s="4"/>
      <c r="N2252" s="11">
        <v>0</v>
      </c>
      <c r="O2252" s="4"/>
      <c r="P2252" s="4"/>
      <c r="Q2252" s="11">
        <v>0</v>
      </c>
      <c r="R2252" s="4"/>
      <c r="S2252" s="12"/>
    </row>
    <row r="2253" spans="1:19" x14ac:dyDescent="0.25">
      <c r="A2253" s="9" t="s">
        <v>571</v>
      </c>
      <c r="B2253" s="9" t="s">
        <v>571</v>
      </c>
      <c r="C2253" s="4">
        <v>201003252</v>
      </c>
      <c r="D2253" s="4" t="s">
        <v>2254</v>
      </c>
      <c r="E2253" s="4" t="str">
        <f>"065542010"</f>
        <v>065542010</v>
      </c>
      <c r="F2253" s="10">
        <v>40304</v>
      </c>
      <c r="G2253" s="11">
        <v>2784</v>
      </c>
      <c r="H2253" s="11">
        <v>2784</v>
      </c>
      <c r="I2253" s="4" t="s">
        <v>366</v>
      </c>
      <c r="J2253" s="4" t="s">
        <v>367</v>
      </c>
      <c r="K2253" s="11">
        <v>0</v>
      </c>
      <c r="L2253" s="4"/>
      <c r="M2253" s="4"/>
      <c r="N2253" s="11">
        <v>0</v>
      </c>
      <c r="O2253" s="4"/>
      <c r="P2253" s="4"/>
      <c r="Q2253" s="11">
        <v>0</v>
      </c>
      <c r="R2253" s="4"/>
      <c r="S2253" s="12"/>
    </row>
    <row r="2254" spans="1:19" x14ac:dyDescent="0.25">
      <c r="A2254" s="9" t="s">
        <v>571</v>
      </c>
      <c r="B2254" s="9" t="s">
        <v>571</v>
      </c>
      <c r="C2254" s="4">
        <v>201003256</v>
      </c>
      <c r="D2254" s="4"/>
      <c r="E2254" s="4" t="str">
        <f>"066362010"</f>
        <v>066362010</v>
      </c>
      <c r="F2254" s="10">
        <v>40308</v>
      </c>
      <c r="G2254" s="11">
        <v>5256.53</v>
      </c>
      <c r="H2254" s="11">
        <v>5256.53</v>
      </c>
      <c r="I2254" s="4" t="s">
        <v>366</v>
      </c>
      <c r="J2254" s="4" t="s">
        <v>367</v>
      </c>
      <c r="K2254" s="11">
        <v>0</v>
      </c>
      <c r="L2254" s="4"/>
      <c r="M2254" s="4"/>
      <c r="N2254" s="11">
        <v>0</v>
      </c>
      <c r="O2254" s="4"/>
      <c r="P2254" s="4"/>
      <c r="Q2254" s="11">
        <v>0</v>
      </c>
      <c r="R2254" s="4"/>
      <c r="S2254" s="12"/>
    </row>
    <row r="2255" spans="1:19" x14ac:dyDescent="0.25">
      <c r="A2255" s="9" t="s">
        <v>571</v>
      </c>
      <c r="B2255" s="9" t="s">
        <v>571</v>
      </c>
      <c r="C2255" s="4">
        <v>201003258</v>
      </c>
      <c r="D2255" s="4" t="s">
        <v>2255</v>
      </c>
      <c r="E2255" s="4" t="str">
        <f>"066182010"</f>
        <v>066182010</v>
      </c>
      <c r="F2255" s="10">
        <v>40305</v>
      </c>
      <c r="G2255" s="11">
        <v>600000</v>
      </c>
      <c r="H2255" s="11">
        <v>600000</v>
      </c>
      <c r="I2255" s="4" t="s">
        <v>687</v>
      </c>
      <c r="J2255" s="4" t="s">
        <v>688</v>
      </c>
      <c r="K2255" s="11">
        <v>0</v>
      </c>
      <c r="L2255" s="4"/>
      <c r="M2255" s="4"/>
      <c r="N2255" s="11">
        <v>0</v>
      </c>
      <c r="O2255" s="4"/>
      <c r="P2255" s="4"/>
      <c r="Q2255" s="11">
        <v>0</v>
      </c>
      <c r="R2255" s="4"/>
      <c r="S2255" s="12"/>
    </row>
    <row r="2256" spans="1:19" x14ac:dyDescent="0.25">
      <c r="A2256" s="9" t="s">
        <v>571</v>
      </c>
      <c r="B2256" s="9" t="s">
        <v>571</v>
      </c>
      <c r="C2256" s="4">
        <v>201003269</v>
      </c>
      <c r="D2256" s="4"/>
      <c r="E2256" s="4" t="str">
        <f>"066822010"</f>
        <v>066822010</v>
      </c>
      <c r="F2256" s="10">
        <v>40310</v>
      </c>
      <c r="G2256" s="11">
        <v>2700.39</v>
      </c>
      <c r="H2256" s="11">
        <v>2700.39</v>
      </c>
      <c r="I2256" s="4" t="s">
        <v>366</v>
      </c>
      <c r="J2256" s="4" t="s">
        <v>367</v>
      </c>
      <c r="K2256" s="11">
        <v>0</v>
      </c>
      <c r="L2256" s="4"/>
      <c r="M2256" s="4"/>
      <c r="N2256" s="11">
        <v>0</v>
      </c>
      <c r="O2256" s="4"/>
      <c r="P2256" s="4"/>
      <c r="Q2256" s="11">
        <v>0</v>
      </c>
      <c r="R2256" s="4"/>
      <c r="S2256" s="12"/>
    </row>
    <row r="2257" spans="1:19" x14ac:dyDescent="0.25">
      <c r="A2257" s="9" t="s">
        <v>571</v>
      </c>
      <c r="B2257" s="9" t="s">
        <v>571</v>
      </c>
      <c r="C2257" s="4">
        <v>201003292</v>
      </c>
      <c r="D2257" s="4" t="s">
        <v>2256</v>
      </c>
      <c r="E2257" s="4" t="str">
        <f>"066602010"</f>
        <v>066602010</v>
      </c>
      <c r="F2257" s="10">
        <v>40308</v>
      </c>
      <c r="G2257" s="11">
        <v>56912</v>
      </c>
      <c r="H2257" s="11">
        <v>56912</v>
      </c>
      <c r="I2257" s="4" t="s">
        <v>687</v>
      </c>
      <c r="J2257" s="4" t="s">
        <v>688</v>
      </c>
      <c r="K2257" s="11">
        <v>0</v>
      </c>
      <c r="L2257" s="4"/>
      <c r="M2257" s="4"/>
      <c r="N2257" s="11">
        <v>0</v>
      </c>
      <c r="O2257" s="4"/>
      <c r="P2257" s="4"/>
      <c r="Q2257" s="11">
        <v>0</v>
      </c>
      <c r="R2257" s="4"/>
      <c r="S2257" s="12"/>
    </row>
    <row r="2258" spans="1:19" x14ac:dyDescent="0.25">
      <c r="A2258" s="9" t="s">
        <v>571</v>
      </c>
      <c r="B2258" s="9" t="s">
        <v>571</v>
      </c>
      <c r="C2258" s="4">
        <v>201003303</v>
      </c>
      <c r="D2258" s="4" t="s">
        <v>2257</v>
      </c>
      <c r="E2258" s="4" t="str">
        <f>"068262010"</f>
        <v>068262010</v>
      </c>
      <c r="F2258" s="10">
        <v>40311</v>
      </c>
      <c r="G2258" s="11">
        <v>250000</v>
      </c>
      <c r="H2258" s="11">
        <v>250000</v>
      </c>
      <c r="I2258" s="4" t="s">
        <v>687</v>
      </c>
      <c r="J2258" s="4" t="s">
        <v>688</v>
      </c>
      <c r="K2258" s="11">
        <v>0</v>
      </c>
      <c r="L2258" s="4"/>
      <c r="M2258" s="4"/>
      <c r="N2258" s="11">
        <v>0</v>
      </c>
      <c r="O2258" s="4"/>
      <c r="P2258" s="4"/>
      <c r="Q2258" s="11">
        <v>0</v>
      </c>
      <c r="R2258" s="4"/>
      <c r="S2258" s="12"/>
    </row>
    <row r="2259" spans="1:19" x14ac:dyDescent="0.25">
      <c r="A2259" s="9" t="s">
        <v>571</v>
      </c>
      <c r="B2259" s="9" t="s">
        <v>571</v>
      </c>
      <c r="C2259" s="4">
        <v>201003307</v>
      </c>
      <c r="D2259" s="4"/>
      <c r="E2259" s="4" t="str">
        <f>"067422010"</f>
        <v>067422010</v>
      </c>
      <c r="F2259" s="10">
        <v>40310</v>
      </c>
      <c r="G2259" s="11">
        <v>22500</v>
      </c>
      <c r="H2259" s="11">
        <v>22500</v>
      </c>
      <c r="I2259" s="4" t="s">
        <v>687</v>
      </c>
      <c r="J2259" s="4" t="s">
        <v>688</v>
      </c>
      <c r="K2259" s="11">
        <v>0</v>
      </c>
      <c r="L2259" s="4"/>
      <c r="M2259" s="4"/>
      <c r="N2259" s="11">
        <v>0</v>
      </c>
      <c r="O2259" s="4"/>
      <c r="P2259" s="4"/>
      <c r="Q2259" s="11">
        <v>0</v>
      </c>
      <c r="R2259" s="4"/>
      <c r="S2259" s="12"/>
    </row>
    <row r="2260" spans="1:19" x14ac:dyDescent="0.25">
      <c r="A2260" s="9" t="s">
        <v>571</v>
      </c>
      <c r="B2260" s="9" t="s">
        <v>571</v>
      </c>
      <c r="C2260" s="4">
        <v>201003313</v>
      </c>
      <c r="D2260" s="4" t="s">
        <v>2258</v>
      </c>
      <c r="E2260" s="4" t="str">
        <f>"066562010"</f>
        <v>066562010</v>
      </c>
      <c r="F2260" s="10">
        <v>40308</v>
      </c>
      <c r="G2260" s="11">
        <v>12500</v>
      </c>
      <c r="H2260" s="11">
        <v>12500</v>
      </c>
      <c r="I2260" s="4" t="s">
        <v>366</v>
      </c>
      <c r="J2260" s="4" t="s">
        <v>367</v>
      </c>
      <c r="K2260" s="11">
        <v>0</v>
      </c>
      <c r="L2260" s="4"/>
      <c r="M2260" s="4"/>
      <c r="N2260" s="11">
        <v>0</v>
      </c>
      <c r="O2260" s="4"/>
      <c r="P2260" s="4"/>
      <c r="Q2260" s="11">
        <v>0</v>
      </c>
      <c r="R2260" s="4"/>
      <c r="S2260" s="12"/>
    </row>
    <row r="2261" spans="1:19" x14ac:dyDescent="0.25">
      <c r="A2261" s="9" t="s">
        <v>571</v>
      </c>
      <c r="B2261" s="9" t="s">
        <v>571</v>
      </c>
      <c r="C2261" s="4">
        <v>201003352</v>
      </c>
      <c r="D2261" s="4" t="s">
        <v>2259</v>
      </c>
      <c r="E2261" s="4" t="str">
        <f>"067002010"</f>
        <v>067002010</v>
      </c>
      <c r="F2261" s="10">
        <v>40310</v>
      </c>
      <c r="G2261" s="11">
        <v>5000</v>
      </c>
      <c r="H2261" s="11">
        <v>5000</v>
      </c>
      <c r="I2261" s="4" t="s">
        <v>366</v>
      </c>
      <c r="J2261" s="4" t="s">
        <v>367</v>
      </c>
      <c r="K2261" s="11">
        <v>0</v>
      </c>
      <c r="L2261" s="4"/>
      <c r="M2261" s="4"/>
      <c r="N2261" s="11">
        <v>0</v>
      </c>
      <c r="O2261" s="4"/>
      <c r="P2261" s="4"/>
      <c r="Q2261" s="11">
        <v>0</v>
      </c>
      <c r="R2261" s="4"/>
      <c r="S2261" s="12"/>
    </row>
    <row r="2262" spans="1:19" x14ac:dyDescent="0.25">
      <c r="A2262" s="9" t="s">
        <v>571</v>
      </c>
      <c r="B2262" s="9" t="s">
        <v>571</v>
      </c>
      <c r="C2262" s="4">
        <v>201003356</v>
      </c>
      <c r="D2262" s="4"/>
      <c r="E2262" s="4" t="str">
        <f>"068742010"</f>
        <v>068742010</v>
      </c>
      <c r="F2262" s="10">
        <v>40312</v>
      </c>
      <c r="G2262" s="11">
        <v>35000</v>
      </c>
      <c r="H2262" s="11">
        <v>35000</v>
      </c>
      <c r="I2262" s="4" t="s">
        <v>687</v>
      </c>
      <c r="J2262" s="4" t="s">
        <v>688</v>
      </c>
      <c r="K2262" s="11">
        <v>0</v>
      </c>
      <c r="L2262" s="4"/>
      <c r="M2262" s="4"/>
      <c r="N2262" s="11">
        <v>0</v>
      </c>
      <c r="O2262" s="4"/>
      <c r="P2262" s="4"/>
      <c r="Q2262" s="11">
        <v>0</v>
      </c>
      <c r="R2262" s="4"/>
      <c r="S2262" s="12"/>
    </row>
    <row r="2263" spans="1:19" x14ac:dyDescent="0.25">
      <c r="A2263" s="9" t="s">
        <v>571</v>
      </c>
      <c r="B2263" s="9" t="s">
        <v>571</v>
      </c>
      <c r="C2263" s="4">
        <v>201003375</v>
      </c>
      <c r="D2263" s="4"/>
      <c r="E2263" s="4" t="str">
        <f>"068902010"</f>
        <v>068902010</v>
      </c>
      <c r="F2263" s="10">
        <v>40316</v>
      </c>
      <c r="G2263" s="11">
        <v>10332.98</v>
      </c>
      <c r="H2263" s="11">
        <v>10332.98</v>
      </c>
      <c r="I2263" s="4" t="s">
        <v>366</v>
      </c>
      <c r="J2263" s="4" t="s">
        <v>367</v>
      </c>
      <c r="K2263" s="11">
        <v>0</v>
      </c>
      <c r="L2263" s="4"/>
      <c r="M2263" s="4"/>
      <c r="N2263" s="11">
        <v>0</v>
      </c>
      <c r="O2263" s="4"/>
      <c r="P2263" s="4"/>
      <c r="Q2263" s="11">
        <v>0</v>
      </c>
      <c r="R2263" s="4"/>
      <c r="S2263" s="12"/>
    </row>
    <row r="2264" spans="1:19" x14ac:dyDescent="0.25">
      <c r="A2264" s="9" t="s">
        <v>571</v>
      </c>
      <c r="B2264" s="9" t="s">
        <v>571</v>
      </c>
      <c r="C2264" s="4">
        <v>201003377</v>
      </c>
      <c r="D2264" s="4"/>
      <c r="E2264" s="4" t="str">
        <f>"067202010"</f>
        <v>067202010</v>
      </c>
      <c r="F2264" s="10">
        <v>40311</v>
      </c>
      <c r="G2264" s="11">
        <v>7679</v>
      </c>
      <c r="H2264" s="11">
        <v>7679</v>
      </c>
      <c r="I2264" s="4" t="s">
        <v>54</v>
      </c>
      <c r="J2264" s="4" t="s">
        <v>55</v>
      </c>
      <c r="K2264" s="11">
        <v>0</v>
      </c>
      <c r="L2264" s="4"/>
      <c r="M2264" s="4"/>
      <c r="N2264" s="11">
        <v>0</v>
      </c>
      <c r="O2264" s="4"/>
      <c r="P2264" s="4"/>
      <c r="Q2264" s="11">
        <v>0</v>
      </c>
      <c r="R2264" s="4"/>
      <c r="S2264" s="12"/>
    </row>
    <row r="2265" spans="1:19" x14ac:dyDescent="0.25">
      <c r="A2265" s="9" t="s">
        <v>571</v>
      </c>
      <c r="B2265" s="9" t="s">
        <v>571</v>
      </c>
      <c r="C2265" s="4">
        <v>201003420</v>
      </c>
      <c r="D2265" s="4"/>
      <c r="E2265" s="4" t="str">
        <f>"068182010"</f>
        <v>068182010</v>
      </c>
      <c r="F2265" s="10">
        <v>40311</v>
      </c>
      <c r="G2265" s="11">
        <v>50000</v>
      </c>
      <c r="H2265" s="11">
        <v>50000</v>
      </c>
      <c r="I2265" s="4" t="s">
        <v>687</v>
      </c>
      <c r="J2265" s="4" t="s">
        <v>688</v>
      </c>
      <c r="K2265" s="11">
        <v>0</v>
      </c>
      <c r="L2265" s="4"/>
      <c r="M2265" s="4"/>
      <c r="N2265" s="11">
        <v>0</v>
      </c>
      <c r="O2265" s="4"/>
      <c r="P2265" s="4"/>
      <c r="Q2265" s="11">
        <v>0</v>
      </c>
      <c r="R2265" s="4"/>
      <c r="S2265" s="12"/>
    </row>
    <row r="2266" spans="1:19" x14ac:dyDescent="0.25">
      <c r="A2266" s="9" t="s">
        <v>571</v>
      </c>
      <c r="B2266" s="9" t="s">
        <v>571</v>
      </c>
      <c r="C2266" s="4">
        <v>201003422</v>
      </c>
      <c r="D2266" s="4"/>
      <c r="E2266" s="4" t="str">
        <f>"068522010"</f>
        <v>068522010</v>
      </c>
      <c r="F2266" s="10">
        <v>40312</v>
      </c>
      <c r="G2266" s="11">
        <v>5500.17</v>
      </c>
      <c r="H2266" s="11">
        <v>5500.17</v>
      </c>
      <c r="I2266" s="4" t="s">
        <v>366</v>
      </c>
      <c r="J2266" s="4" t="s">
        <v>367</v>
      </c>
      <c r="K2266" s="11">
        <v>0</v>
      </c>
      <c r="L2266" s="4"/>
      <c r="M2266" s="4"/>
      <c r="N2266" s="11">
        <v>0</v>
      </c>
      <c r="O2266" s="4"/>
      <c r="P2266" s="4"/>
      <c r="Q2266" s="11">
        <v>0</v>
      </c>
      <c r="R2266" s="4"/>
      <c r="S2266" s="12"/>
    </row>
    <row r="2267" spans="1:19" x14ac:dyDescent="0.25">
      <c r="A2267" s="9" t="s">
        <v>571</v>
      </c>
      <c r="B2267" s="9" t="s">
        <v>571</v>
      </c>
      <c r="C2267" s="4">
        <v>201003453</v>
      </c>
      <c r="D2267" s="4"/>
      <c r="E2267" s="4" t="str">
        <f>"093992010"</f>
        <v>093992010</v>
      </c>
      <c r="F2267" s="10">
        <v>40379</v>
      </c>
      <c r="G2267" s="11">
        <v>3558.47</v>
      </c>
      <c r="H2267" s="11">
        <v>3558.47</v>
      </c>
      <c r="I2267" s="4" t="s">
        <v>366</v>
      </c>
      <c r="J2267" s="4" t="s">
        <v>367</v>
      </c>
      <c r="K2267" s="11">
        <v>0</v>
      </c>
      <c r="L2267" s="4"/>
      <c r="M2267" s="4"/>
      <c r="N2267" s="11">
        <v>0</v>
      </c>
      <c r="O2267" s="4"/>
      <c r="P2267" s="4"/>
      <c r="Q2267" s="11">
        <v>0</v>
      </c>
      <c r="R2267" s="4"/>
      <c r="S2267" s="12"/>
    </row>
    <row r="2268" spans="1:19" x14ac:dyDescent="0.25">
      <c r="A2268" s="9" t="s">
        <v>571</v>
      </c>
      <c r="B2268" s="9" t="s">
        <v>571</v>
      </c>
      <c r="C2268" s="4">
        <v>201003456</v>
      </c>
      <c r="D2268" s="4"/>
      <c r="E2268" s="4" t="str">
        <f>"068942010"</f>
        <v>068942010</v>
      </c>
      <c r="F2268" s="10">
        <v>40316</v>
      </c>
      <c r="G2268" s="11">
        <v>125000</v>
      </c>
      <c r="H2268" s="11">
        <v>125000</v>
      </c>
      <c r="I2268" s="4" t="s">
        <v>687</v>
      </c>
      <c r="J2268" s="4" t="s">
        <v>688</v>
      </c>
      <c r="K2268" s="11">
        <v>0</v>
      </c>
      <c r="L2268" s="4"/>
      <c r="M2268" s="4"/>
      <c r="N2268" s="11">
        <v>0</v>
      </c>
      <c r="O2268" s="4"/>
      <c r="P2268" s="4"/>
      <c r="Q2268" s="11">
        <v>0</v>
      </c>
      <c r="R2268" s="4"/>
      <c r="S2268" s="12"/>
    </row>
    <row r="2269" spans="1:19" x14ac:dyDescent="0.25">
      <c r="A2269" s="9" t="s">
        <v>571</v>
      </c>
      <c r="B2269" s="9" t="s">
        <v>571</v>
      </c>
      <c r="C2269" s="4">
        <v>201003457</v>
      </c>
      <c r="D2269" s="4"/>
      <c r="E2269" s="4" t="str">
        <f>"069062010"</f>
        <v>069062010</v>
      </c>
      <c r="F2269" s="10">
        <v>40312</v>
      </c>
      <c r="G2269" s="11">
        <v>12000</v>
      </c>
      <c r="H2269" s="11">
        <v>12000</v>
      </c>
      <c r="I2269" s="4" t="s">
        <v>687</v>
      </c>
      <c r="J2269" s="4" t="s">
        <v>688</v>
      </c>
      <c r="K2269" s="11">
        <v>0</v>
      </c>
      <c r="L2269" s="4"/>
      <c r="M2269" s="4"/>
      <c r="N2269" s="11">
        <v>0</v>
      </c>
      <c r="O2269" s="4"/>
      <c r="P2269" s="4"/>
      <c r="Q2269" s="11">
        <v>0</v>
      </c>
      <c r="R2269" s="4"/>
      <c r="S2269" s="12"/>
    </row>
    <row r="2270" spans="1:19" x14ac:dyDescent="0.25">
      <c r="A2270" s="9" t="s">
        <v>571</v>
      </c>
      <c r="B2270" s="9" t="s">
        <v>571</v>
      </c>
      <c r="C2270" s="4">
        <v>201003472</v>
      </c>
      <c r="D2270" s="4" t="s">
        <v>2260</v>
      </c>
      <c r="E2270" s="4" t="str">
        <f>"073642010"</f>
        <v>073642010</v>
      </c>
      <c r="F2270" s="10">
        <v>40324</v>
      </c>
      <c r="G2270" s="11">
        <v>8500</v>
      </c>
      <c r="H2270" s="11">
        <v>8500</v>
      </c>
      <c r="I2270" s="4" t="s">
        <v>366</v>
      </c>
      <c r="J2270" s="4" t="s">
        <v>367</v>
      </c>
      <c r="K2270" s="11">
        <v>0</v>
      </c>
      <c r="L2270" s="4"/>
      <c r="M2270" s="4"/>
      <c r="N2270" s="11">
        <v>0</v>
      </c>
      <c r="O2270" s="4"/>
      <c r="P2270" s="4"/>
      <c r="Q2270" s="11">
        <v>0</v>
      </c>
      <c r="R2270" s="4"/>
      <c r="S2270" s="12"/>
    </row>
    <row r="2271" spans="1:19" x14ac:dyDescent="0.25">
      <c r="A2271" s="9" t="s">
        <v>571</v>
      </c>
      <c r="B2271" s="9" t="s">
        <v>571</v>
      </c>
      <c r="C2271" s="4">
        <v>201003515</v>
      </c>
      <c r="D2271" s="4" t="s">
        <v>2261</v>
      </c>
      <c r="E2271" s="4" t="str">
        <f>"091702010"</f>
        <v>091702010</v>
      </c>
      <c r="F2271" s="10">
        <v>40368</v>
      </c>
      <c r="G2271" s="11">
        <v>150000</v>
      </c>
      <c r="H2271" s="11">
        <v>150000</v>
      </c>
      <c r="I2271" s="4" t="s">
        <v>687</v>
      </c>
      <c r="J2271" s="4" t="s">
        <v>688</v>
      </c>
      <c r="K2271" s="11">
        <v>0</v>
      </c>
      <c r="L2271" s="4"/>
      <c r="M2271" s="4"/>
      <c r="N2271" s="11">
        <v>0</v>
      </c>
      <c r="O2271" s="4"/>
      <c r="P2271" s="4"/>
      <c r="Q2271" s="11">
        <v>0</v>
      </c>
      <c r="R2271" s="4"/>
      <c r="S2271" s="12"/>
    </row>
    <row r="2272" spans="1:19" x14ac:dyDescent="0.25">
      <c r="A2272" s="9" t="s">
        <v>571</v>
      </c>
      <c r="B2272" s="9" t="s">
        <v>571</v>
      </c>
      <c r="C2272" s="4">
        <v>201003557</v>
      </c>
      <c r="D2272" s="4" t="s">
        <v>2262</v>
      </c>
      <c r="E2272" s="4" t="str">
        <f>"072612010"</f>
        <v>072612010</v>
      </c>
      <c r="F2272" s="10">
        <v>40323</v>
      </c>
      <c r="G2272" s="11">
        <v>5436</v>
      </c>
      <c r="H2272" s="11">
        <v>5436</v>
      </c>
      <c r="I2272" s="4" t="s">
        <v>366</v>
      </c>
      <c r="J2272" s="4" t="s">
        <v>367</v>
      </c>
      <c r="K2272" s="11">
        <v>0</v>
      </c>
      <c r="L2272" s="4"/>
      <c r="M2272" s="4"/>
      <c r="N2272" s="11">
        <v>0</v>
      </c>
      <c r="O2272" s="4"/>
      <c r="P2272" s="4"/>
      <c r="Q2272" s="11">
        <v>0</v>
      </c>
      <c r="R2272" s="4"/>
      <c r="S2272" s="12"/>
    </row>
    <row r="2273" spans="1:19" x14ac:dyDescent="0.25">
      <c r="A2273" s="9" t="s">
        <v>571</v>
      </c>
      <c r="B2273" s="9" t="s">
        <v>571</v>
      </c>
      <c r="C2273" s="4">
        <v>201003558</v>
      </c>
      <c r="D2273" s="4"/>
      <c r="E2273" s="4" t="str">
        <f>"073582010"</f>
        <v>073582010</v>
      </c>
      <c r="F2273" s="10">
        <v>40324</v>
      </c>
      <c r="G2273" s="11">
        <v>4000</v>
      </c>
      <c r="H2273" s="11">
        <v>4000</v>
      </c>
      <c r="I2273" s="4" t="s">
        <v>366</v>
      </c>
      <c r="J2273" s="4" t="s">
        <v>367</v>
      </c>
      <c r="K2273" s="11">
        <v>0</v>
      </c>
      <c r="L2273" s="4"/>
      <c r="M2273" s="4"/>
      <c r="N2273" s="11">
        <v>0</v>
      </c>
      <c r="O2273" s="4"/>
      <c r="P2273" s="4"/>
      <c r="Q2273" s="11">
        <v>0</v>
      </c>
      <c r="R2273" s="4"/>
      <c r="S2273" s="12"/>
    </row>
    <row r="2274" spans="1:19" x14ac:dyDescent="0.25">
      <c r="A2274" s="9" t="s">
        <v>571</v>
      </c>
      <c r="B2274" s="9" t="s">
        <v>571</v>
      </c>
      <c r="C2274" s="4">
        <v>201003559</v>
      </c>
      <c r="D2274" s="4" t="s">
        <v>2262</v>
      </c>
      <c r="E2274" s="4" t="str">
        <f>"072472010"</f>
        <v>072472010</v>
      </c>
      <c r="F2274" s="10">
        <v>40323</v>
      </c>
      <c r="G2274" s="11">
        <v>8000</v>
      </c>
      <c r="H2274" s="11">
        <v>8000</v>
      </c>
      <c r="I2274" s="4" t="s">
        <v>366</v>
      </c>
      <c r="J2274" s="4" t="s">
        <v>367</v>
      </c>
      <c r="K2274" s="11">
        <v>0</v>
      </c>
      <c r="L2274" s="4"/>
      <c r="M2274" s="4"/>
      <c r="N2274" s="11">
        <v>0</v>
      </c>
      <c r="O2274" s="4"/>
      <c r="P2274" s="4"/>
      <c r="Q2274" s="11">
        <v>0</v>
      </c>
      <c r="R2274" s="4"/>
      <c r="S2274" s="12"/>
    </row>
    <row r="2275" spans="1:19" x14ac:dyDescent="0.25">
      <c r="A2275" s="9" t="s">
        <v>571</v>
      </c>
      <c r="B2275" s="9" t="s">
        <v>571</v>
      </c>
      <c r="C2275" s="4">
        <v>201003595</v>
      </c>
      <c r="D2275" s="4" t="s">
        <v>2263</v>
      </c>
      <c r="E2275" s="4" t="str">
        <f>"071872010"</f>
        <v>071872010</v>
      </c>
      <c r="F2275" s="10">
        <v>40319</v>
      </c>
      <c r="G2275" s="11">
        <v>17159.2</v>
      </c>
      <c r="H2275" s="11">
        <v>17159.2</v>
      </c>
      <c r="I2275" s="4" t="s">
        <v>366</v>
      </c>
      <c r="J2275" s="4" t="s">
        <v>367</v>
      </c>
      <c r="K2275" s="11">
        <v>0</v>
      </c>
      <c r="L2275" s="4"/>
      <c r="M2275" s="4"/>
      <c r="N2275" s="11">
        <v>0</v>
      </c>
      <c r="O2275" s="4"/>
      <c r="P2275" s="4"/>
      <c r="Q2275" s="11">
        <v>0</v>
      </c>
      <c r="R2275" s="4"/>
      <c r="S2275" s="12"/>
    </row>
    <row r="2276" spans="1:19" x14ac:dyDescent="0.25">
      <c r="A2276" s="9" t="s">
        <v>571</v>
      </c>
      <c r="B2276" s="9" t="s">
        <v>571</v>
      </c>
      <c r="C2276" s="4">
        <v>201003641</v>
      </c>
      <c r="D2276" s="4" t="s">
        <v>2264</v>
      </c>
      <c r="E2276" s="4" t="str">
        <f>"073942010"</f>
        <v>073942010</v>
      </c>
      <c r="F2276" s="10">
        <v>40331</v>
      </c>
      <c r="G2276" s="11">
        <v>3500</v>
      </c>
      <c r="H2276" s="11">
        <v>3500</v>
      </c>
      <c r="I2276" s="4" t="s">
        <v>687</v>
      </c>
      <c r="J2276" s="4" t="s">
        <v>688</v>
      </c>
      <c r="K2276" s="11">
        <v>0</v>
      </c>
      <c r="L2276" s="4"/>
      <c r="M2276" s="4"/>
      <c r="N2276" s="11">
        <v>0</v>
      </c>
      <c r="O2276" s="4"/>
      <c r="P2276" s="4"/>
      <c r="Q2276" s="11">
        <v>0</v>
      </c>
      <c r="R2276" s="4"/>
      <c r="S2276" s="12"/>
    </row>
    <row r="2277" spans="1:19" x14ac:dyDescent="0.25">
      <c r="A2277" s="9" t="s">
        <v>571</v>
      </c>
      <c r="B2277" s="9" t="s">
        <v>571</v>
      </c>
      <c r="C2277" s="4">
        <v>201003643</v>
      </c>
      <c r="D2277" s="4"/>
      <c r="E2277" s="4" t="str">
        <f>"073922010"</f>
        <v>073922010</v>
      </c>
      <c r="F2277" s="10">
        <v>40332</v>
      </c>
      <c r="G2277" s="11">
        <v>3300</v>
      </c>
      <c r="H2277" s="11">
        <v>3300</v>
      </c>
      <c r="I2277" s="4" t="s">
        <v>54</v>
      </c>
      <c r="J2277" s="4" t="s">
        <v>55</v>
      </c>
      <c r="K2277" s="11">
        <v>0</v>
      </c>
      <c r="L2277" s="4"/>
      <c r="M2277" s="4"/>
      <c r="N2277" s="11">
        <v>0</v>
      </c>
      <c r="O2277" s="4"/>
      <c r="P2277" s="4"/>
      <c r="Q2277" s="11">
        <v>0</v>
      </c>
      <c r="R2277" s="4"/>
      <c r="S2277" s="12"/>
    </row>
    <row r="2278" spans="1:19" x14ac:dyDescent="0.25">
      <c r="A2278" s="9" t="s">
        <v>571</v>
      </c>
      <c r="B2278" s="9" t="s">
        <v>571</v>
      </c>
      <c r="C2278" s="4">
        <v>201003659</v>
      </c>
      <c r="D2278" s="4" t="s">
        <v>2265</v>
      </c>
      <c r="E2278" s="4" t="str">
        <f>"073372010"</f>
        <v>073372010</v>
      </c>
      <c r="F2278" s="10">
        <v>40324</v>
      </c>
      <c r="G2278" s="11">
        <v>250000</v>
      </c>
      <c r="H2278" s="11">
        <v>250000</v>
      </c>
      <c r="I2278" s="4" t="s">
        <v>687</v>
      </c>
      <c r="J2278" s="4" t="s">
        <v>688</v>
      </c>
      <c r="K2278" s="11">
        <v>0</v>
      </c>
      <c r="L2278" s="4"/>
      <c r="M2278" s="4"/>
      <c r="N2278" s="11">
        <v>0</v>
      </c>
      <c r="O2278" s="4"/>
      <c r="P2278" s="4"/>
      <c r="Q2278" s="11">
        <v>0</v>
      </c>
      <c r="R2278" s="4"/>
      <c r="S2278" s="12"/>
    </row>
    <row r="2279" spans="1:19" x14ac:dyDescent="0.25">
      <c r="A2279" s="9" t="s">
        <v>571</v>
      </c>
      <c r="B2279" s="9" t="s">
        <v>571</v>
      </c>
      <c r="C2279" s="4">
        <v>201003663</v>
      </c>
      <c r="D2279" s="4" t="s">
        <v>2266</v>
      </c>
      <c r="E2279" s="4" t="str">
        <f>"073392010"</f>
        <v>073392010</v>
      </c>
      <c r="F2279" s="10">
        <v>40324</v>
      </c>
      <c r="G2279" s="11">
        <v>300000</v>
      </c>
      <c r="H2279" s="11">
        <v>300000</v>
      </c>
      <c r="I2279" s="4" t="s">
        <v>687</v>
      </c>
      <c r="J2279" s="4" t="s">
        <v>688</v>
      </c>
      <c r="K2279" s="11">
        <v>0</v>
      </c>
      <c r="L2279" s="4"/>
      <c r="M2279" s="4"/>
      <c r="N2279" s="11">
        <v>0</v>
      </c>
      <c r="O2279" s="4"/>
      <c r="P2279" s="4"/>
      <c r="Q2279" s="11">
        <v>0</v>
      </c>
      <c r="R2279" s="4"/>
      <c r="S2279" s="12"/>
    </row>
    <row r="2280" spans="1:19" x14ac:dyDescent="0.25">
      <c r="A2280" s="9" t="s">
        <v>571</v>
      </c>
      <c r="B2280" s="9" t="s">
        <v>571</v>
      </c>
      <c r="C2280" s="4">
        <v>201003670</v>
      </c>
      <c r="D2280" s="4"/>
      <c r="E2280" s="4" t="str">
        <f>"073742010"</f>
        <v>073742010</v>
      </c>
      <c r="F2280" s="10">
        <v>40324</v>
      </c>
      <c r="G2280" s="11">
        <v>145000</v>
      </c>
      <c r="H2280" s="11">
        <v>145000</v>
      </c>
      <c r="I2280" s="4" t="s">
        <v>687</v>
      </c>
      <c r="J2280" s="4" t="s">
        <v>688</v>
      </c>
      <c r="K2280" s="11">
        <v>0</v>
      </c>
      <c r="L2280" s="4"/>
      <c r="M2280" s="4"/>
      <c r="N2280" s="11">
        <v>0</v>
      </c>
      <c r="O2280" s="4"/>
      <c r="P2280" s="4"/>
      <c r="Q2280" s="11">
        <v>0</v>
      </c>
      <c r="R2280" s="4"/>
      <c r="S2280" s="12"/>
    </row>
    <row r="2281" spans="1:19" x14ac:dyDescent="0.25">
      <c r="A2281" s="9" t="s">
        <v>571</v>
      </c>
      <c r="B2281" s="9" t="s">
        <v>571</v>
      </c>
      <c r="C2281" s="4">
        <v>201003687</v>
      </c>
      <c r="D2281" s="4" t="s">
        <v>2267</v>
      </c>
      <c r="E2281" s="4" t="str">
        <f>"074022010"</f>
        <v>074022010</v>
      </c>
      <c r="F2281" s="10">
        <v>40331</v>
      </c>
      <c r="G2281" s="11">
        <v>125000</v>
      </c>
      <c r="H2281" s="11">
        <v>125000</v>
      </c>
      <c r="I2281" s="4" t="s">
        <v>687</v>
      </c>
      <c r="J2281" s="4" t="s">
        <v>688</v>
      </c>
      <c r="K2281" s="11">
        <v>0</v>
      </c>
      <c r="L2281" s="4"/>
      <c r="M2281" s="4"/>
      <c r="N2281" s="11">
        <v>0</v>
      </c>
      <c r="O2281" s="4"/>
      <c r="P2281" s="4"/>
      <c r="Q2281" s="11">
        <v>0</v>
      </c>
      <c r="R2281" s="4"/>
      <c r="S2281" s="12"/>
    </row>
    <row r="2282" spans="1:19" x14ac:dyDescent="0.25">
      <c r="A2282" s="9" t="s">
        <v>571</v>
      </c>
      <c r="B2282" s="9" t="s">
        <v>571</v>
      </c>
      <c r="C2282" s="4">
        <v>201003702</v>
      </c>
      <c r="D2282" s="4" t="s">
        <v>2268</v>
      </c>
      <c r="E2282" s="4" t="str">
        <f>"078962010"</f>
        <v>078962010</v>
      </c>
      <c r="F2282" s="10">
        <v>40344</v>
      </c>
      <c r="G2282" s="11">
        <v>50000</v>
      </c>
      <c r="H2282" s="11">
        <v>50000</v>
      </c>
      <c r="I2282" s="4" t="s">
        <v>687</v>
      </c>
      <c r="J2282" s="4" t="s">
        <v>688</v>
      </c>
      <c r="K2282" s="11">
        <v>0</v>
      </c>
      <c r="L2282" s="4"/>
      <c r="M2282" s="4"/>
      <c r="N2282" s="11">
        <v>0</v>
      </c>
      <c r="O2282" s="4"/>
      <c r="P2282" s="4"/>
      <c r="Q2282" s="11">
        <v>0</v>
      </c>
      <c r="R2282" s="4"/>
      <c r="S2282" s="12"/>
    </row>
    <row r="2283" spans="1:19" x14ac:dyDescent="0.25">
      <c r="A2283" s="9" t="s">
        <v>571</v>
      </c>
      <c r="B2283" s="9" t="s">
        <v>571</v>
      </c>
      <c r="C2283" s="4">
        <v>201003707</v>
      </c>
      <c r="D2283" s="4"/>
      <c r="E2283" s="4" t="str">
        <f>"073602010"</f>
        <v>073602010</v>
      </c>
      <c r="F2283" s="10">
        <v>40324</v>
      </c>
      <c r="G2283" s="11">
        <v>150000</v>
      </c>
      <c r="H2283" s="11">
        <v>150000</v>
      </c>
      <c r="I2283" s="4" t="s">
        <v>687</v>
      </c>
      <c r="J2283" s="4" t="s">
        <v>688</v>
      </c>
      <c r="K2283" s="11">
        <v>0</v>
      </c>
      <c r="L2283" s="4"/>
      <c r="M2283" s="4"/>
      <c r="N2283" s="11">
        <v>0</v>
      </c>
      <c r="O2283" s="4"/>
      <c r="P2283" s="4"/>
      <c r="Q2283" s="11">
        <v>0</v>
      </c>
      <c r="R2283" s="4"/>
      <c r="S2283" s="12"/>
    </row>
    <row r="2284" spans="1:19" x14ac:dyDescent="0.25">
      <c r="A2284" s="9" t="s">
        <v>571</v>
      </c>
      <c r="B2284" s="9" t="s">
        <v>571</v>
      </c>
      <c r="C2284" s="4">
        <v>201003728</v>
      </c>
      <c r="D2284" s="4"/>
      <c r="E2284" s="4" t="str">
        <f>"077062010"</f>
        <v>077062010</v>
      </c>
      <c r="F2284" s="10">
        <v>40337</v>
      </c>
      <c r="G2284" s="11">
        <v>150000</v>
      </c>
      <c r="H2284" s="11">
        <v>150000</v>
      </c>
      <c r="I2284" s="4" t="s">
        <v>687</v>
      </c>
      <c r="J2284" s="4" t="s">
        <v>688</v>
      </c>
      <c r="K2284" s="11">
        <v>0</v>
      </c>
      <c r="L2284" s="4"/>
      <c r="M2284" s="4"/>
      <c r="N2284" s="11">
        <v>0</v>
      </c>
      <c r="O2284" s="4"/>
      <c r="P2284" s="4"/>
      <c r="Q2284" s="11">
        <v>0</v>
      </c>
      <c r="R2284" s="4"/>
      <c r="S2284" s="12"/>
    </row>
    <row r="2285" spans="1:19" x14ac:dyDescent="0.25">
      <c r="A2285" s="9" t="s">
        <v>571</v>
      </c>
      <c r="B2285" s="9" t="s">
        <v>571</v>
      </c>
      <c r="C2285" s="4">
        <v>201003730</v>
      </c>
      <c r="D2285" s="4" t="s">
        <v>2269</v>
      </c>
      <c r="E2285" s="4" t="str">
        <f>"073562010"</f>
        <v>073562010</v>
      </c>
      <c r="F2285" s="10">
        <v>40324</v>
      </c>
      <c r="G2285" s="11">
        <v>100000</v>
      </c>
      <c r="H2285" s="11">
        <v>100000</v>
      </c>
      <c r="I2285" s="4" t="s">
        <v>687</v>
      </c>
      <c r="J2285" s="4" t="s">
        <v>688</v>
      </c>
      <c r="K2285" s="11">
        <v>0</v>
      </c>
      <c r="L2285" s="4"/>
      <c r="M2285" s="4"/>
      <c r="N2285" s="11">
        <v>0</v>
      </c>
      <c r="O2285" s="4"/>
      <c r="P2285" s="4"/>
      <c r="Q2285" s="11">
        <v>0</v>
      </c>
      <c r="R2285" s="4"/>
      <c r="S2285" s="12"/>
    </row>
    <row r="2286" spans="1:19" x14ac:dyDescent="0.25">
      <c r="A2286" s="9" t="s">
        <v>571</v>
      </c>
      <c r="B2286" s="9" t="s">
        <v>571</v>
      </c>
      <c r="C2286" s="4">
        <v>201003732</v>
      </c>
      <c r="D2286" s="4" t="s">
        <v>2092</v>
      </c>
      <c r="E2286" s="4" t="str">
        <f>"077672010"</f>
        <v>077672010</v>
      </c>
      <c r="F2286" s="10">
        <v>40340</v>
      </c>
      <c r="G2286" s="11">
        <v>5260</v>
      </c>
      <c r="H2286" s="11">
        <v>5260</v>
      </c>
      <c r="I2286" s="4" t="s">
        <v>366</v>
      </c>
      <c r="J2286" s="4" t="s">
        <v>367</v>
      </c>
      <c r="K2286" s="11">
        <v>0</v>
      </c>
      <c r="L2286" s="4"/>
      <c r="M2286" s="4"/>
      <c r="N2286" s="11">
        <v>0</v>
      </c>
      <c r="O2286" s="4"/>
      <c r="P2286" s="4"/>
      <c r="Q2286" s="11">
        <v>0</v>
      </c>
      <c r="R2286" s="4"/>
      <c r="S2286" s="12"/>
    </row>
    <row r="2287" spans="1:19" x14ac:dyDescent="0.25">
      <c r="A2287" s="9" t="s">
        <v>571</v>
      </c>
      <c r="B2287" s="9" t="s">
        <v>571</v>
      </c>
      <c r="C2287" s="4">
        <v>201003748</v>
      </c>
      <c r="D2287" s="4" t="s">
        <v>2270</v>
      </c>
      <c r="E2287" s="4" t="str">
        <f>"076492010"</f>
        <v>076492010</v>
      </c>
      <c r="F2287" s="10">
        <v>40336</v>
      </c>
      <c r="G2287" s="11">
        <v>20000</v>
      </c>
      <c r="H2287" s="11">
        <v>20000</v>
      </c>
      <c r="I2287" s="4" t="s">
        <v>687</v>
      </c>
      <c r="J2287" s="4" t="s">
        <v>688</v>
      </c>
      <c r="K2287" s="11">
        <v>0</v>
      </c>
      <c r="L2287" s="4"/>
      <c r="M2287" s="4"/>
      <c r="N2287" s="11">
        <v>0</v>
      </c>
      <c r="O2287" s="4"/>
      <c r="P2287" s="4"/>
      <c r="Q2287" s="11">
        <v>0</v>
      </c>
      <c r="R2287" s="4"/>
      <c r="S2287" s="12"/>
    </row>
    <row r="2288" spans="1:19" x14ac:dyDescent="0.25">
      <c r="A2288" s="9" t="s">
        <v>571</v>
      </c>
      <c r="B2288" s="9" t="s">
        <v>571</v>
      </c>
      <c r="C2288" s="4">
        <v>201003759</v>
      </c>
      <c r="D2288" s="4" t="s">
        <v>2271</v>
      </c>
      <c r="E2288" s="4" t="str">
        <f>"074502010"</f>
        <v>074502010</v>
      </c>
      <c r="F2288" s="10">
        <v>40331</v>
      </c>
      <c r="G2288" s="11">
        <v>150000</v>
      </c>
      <c r="H2288" s="11">
        <v>150000</v>
      </c>
      <c r="I2288" s="4" t="s">
        <v>687</v>
      </c>
      <c r="J2288" s="4" t="s">
        <v>688</v>
      </c>
      <c r="K2288" s="11">
        <v>0</v>
      </c>
      <c r="L2288" s="4"/>
      <c r="M2288" s="4"/>
      <c r="N2288" s="11">
        <v>0</v>
      </c>
      <c r="O2288" s="4"/>
      <c r="P2288" s="4"/>
      <c r="Q2288" s="11">
        <v>0</v>
      </c>
      <c r="R2288" s="4"/>
      <c r="S2288" s="12"/>
    </row>
    <row r="2289" spans="1:19" x14ac:dyDescent="0.25">
      <c r="A2289" s="9" t="s">
        <v>571</v>
      </c>
      <c r="B2289" s="9" t="s">
        <v>571</v>
      </c>
      <c r="C2289" s="4">
        <v>201003794</v>
      </c>
      <c r="D2289" s="4"/>
      <c r="E2289" s="4" t="str">
        <f>"075402010"</f>
        <v>075402010</v>
      </c>
      <c r="F2289" s="10">
        <v>40331</v>
      </c>
      <c r="G2289" s="11">
        <v>150000</v>
      </c>
      <c r="H2289" s="11">
        <v>150000</v>
      </c>
      <c r="I2289" s="4" t="s">
        <v>687</v>
      </c>
      <c r="J2289" s="4" t="s">
        <v>688</v>
      </c>
      <c r="K2289" s="11">
        <v>0</v>
      </c>
      <c r="L2289" s="4"/>
      <c r="M2289" s="4"/>
      <c r="N2289" s="11">
        <v>0</v>
      </c>
      <c r="O2289" s="4"/>
      <c r="P2289" s="4"/>
      <c r="Q2289" s="11">
        <v>0</v>
      </c>
      <c r="R2289" s="4"/>
      <c r="S2289" s="12"/>
    </row>
    <row r="2290" spans="1:19" x14ac:dyDescent="0.25">
      <c r="A2290" s="9" t="s">
        <v>571</v>
      </c>
      <c r="B2290" s="9" t="s">
        <v>571</v>
      </c>
      <c r="C2290" s="4">
        <v>201003803</v>
      </c>
      <c r="D2290" s="4"/>
      <c r="E2290" s="4" t="str">
        <f>"079082010"</f>
        <v>079082010</v>
      </c>
      <c r="F2290" s="10">
        <v>40344</v>
      </c>
      <c r="G2290" s="11">
        <v>50000</v>
      </c>
      <c r="H2290" s="11">
        <v>50000</v>
      </c>
      <c r="I2290" s="4" t="s">
        <v>687</v>
      </c>
      <c r="J2290" s="4" t="s">
        <v>688</v>
      </c>
      <c r="K2290" s="11">
        <v>0</v>
      </c>
      <c r="L2290" s="4"/>
      <c r="M2290" s="4"/>
      <c r="N2290" s="11">
        <v>0</v>
      </c>
      <c r="O2290" s="4"/>
      <c r="P2290" s="4"/>
      <c r="Q2290" s="11">
        <v>0</v>
      </c>
      <c r="R2290" s="4"/>
      <c r="S2290" s="12"/>
    </row>
    <row r="2291" spans="1:19" x14ac:dyDescent="0.25">
      <c r="A2291" s="9" t="s">
        <v>571</v>
      </c>
      <c r="B2291" s="9" t="s">
        <v>571</v>
      </c>
      <c r="C2291" s="4">
        <v>201003823</v>
      </c>
      <c r="D2291" s="4" t="s">
        <v>2272</v>
      </c>
      <c r="E2291" s="4" t="str">
        <f>"077692010"</f>
        <v>077692010</v>
      </c>
      <c r="F2291" s="10">
        <v>40340</v>
      </c>
      <c r="G2291" s="11">
        <v>65000</v>
      </c>
      <c r="H2291" s="11">
        <v>65000</v>
      </c>
      <c r="I2291" s="4" t="s">
        <v>687</v>
      </c>
      <c r="J2291" s="4" t="s">
        <v>688</v>
      </c>
      <c r="K2291" s="11">
        <v>0</v>
      </c>
      <c r="L2291" s="4"/>
      <c r="M2291" s="4"/>
      <c r="N2291" s="11">
        <v>0</v>
      </c>
      <c r="O2291" s="4"/>
      <c r="P2291" s="4"/>
      <c r="Q2291" s="11">
        <v>0</v>
      </c>
      <c r="R2291" s="4"/>
      <c r="S2291" s="12"/>
    </row>
    <row r="2292" spans="1:19" x14ac:dyDescent="0.25">
      <c r="A2292" s="9" t="s">
        <v>571</v>
      </c>
      <c r="B2292" s="9" t="s">
        <v>571</v>
      </c>
      <c r="C2292" s="4">
        <v>201003869</v>
      </c>
      <c r="D2292" s="4" t="s">
        <v>2273</v>
      </c>
      <c r="E2292" s="4" t="str">
        <f>"091982010"</f>
        <v>091982010</v>
      </c>
      <c r="F2292" s="10">
        <v>40373</v>
      </c>
      <c r="G2292" s="11">
        <v>15000</v>
      </c>
      <c r="H2292" s="11">
        <v>15000</v>
      </c>
      <c r="I2292" s="4" t="s">
        <v>931</v>
      </c>
      <c r="J2292" s="4" t="s">
        <v>932</v>
      </c>
      <c r="K2292" s="11">
        <v>0</v>
      </c>
      <c r="L2292" s="4"/>
      <c r="M2292" s="4"/>
      <c r="N2292" s="11">
        <v>0</v>
      </c>
      <c r="O2292" s="4"/>
      <c r="P2292" s="4"/>
      <c r="Q2292" s="11">
        <v>0</v>
      </c>
      <c r="R2292" s="4"/>
      <c r="S2292" s="12"/>
    </row>
    <row r="2293" spans="1:19" x14ac:dyDescent="0.25">
      <c r="A2293" s="9" t="s">
        <v>571</v>
      </c>
      <c r="B2293" s="9" t="s">
        <v>571</v>
      </c>
      <c r="C2293" s="4">
        <v>201003872</v>
      </c>
      <c r="D2293" s="4"/>
      <c r="E2293" s="4" t="str">
        <f>"079022010"</f>
        <v>079022010</v>
      </c>
      <c r="F2293" s="10">
        <v>40344</v>
      </c>
      <c r="G2293" s="11">
        <v>40000</v>
      </c>
      <c r="H2293" s="11">
        <v>40000</v>
      </c>
      <c r="I2293" s="4" t="s">
        <v>687</v>
      </c>
      <c r="J2293" s="4" t="s">
        <v>688</v>
      </c>
      <c r="K2293" s="11">
        <v>0</v>
      </c>
      <c r="L2293" s="4"/>
      <c r="M2293" s="4"/>
      <c r="N2293" s="11">
        <v>0</v>
      </c>
      <c r="O2293" s="4"/>
      <c r="P2293" s="4"/>
      <c r="Q2293" s="11">
        <v>0</v>
      </c>
      <c r="R2293" s="4"/>
      <c r="S2293" s="12"/>
    </row>
    <row r="2294" spans="1:19" x14ac:dyDescent="0.25">
      <c r="A2294" s="9" t="s">
        <v>571</v>
      </c>
      <c r="B2294" s="9" t="s">
        <v>571</v>
      </c>
      <c r="C2294" s="4">
        <v>201003882</v>
      </c>
      <c r="D2294" s="4" t="s">
        <v>2274</v>
      </c>
      <c r="E2294" s="4" t="str">
        <f>"076572010"</f>
        <v>076572010</v>
      </c>
      <c r="F2294" s="10">
        <v>40336</v>
      </c>
      <c r="G2294" s="11">
        <v>27000</v>
      </c>
      <c r="H2294" s="11">
        <v>27000</v>
      </c>
      <c r="I2294" s="4" t="s">
        <v>931</v>
      </c>
      <c r="J2294" s="4" t="s">
        <v>932</v>
      </c>
      <c r="K2294" s="11">
        <v>0</v>
      </c>
      <c r="L2294" s="4"/>
      <c r="M2294" s="4"/>
      <c r="N2294" s="11">
        <v>0</v>
      </c>
      <c r="O2294" s="4"/>
      <c r="P2294" s="4"/>
      <c r="Q2294" s="11">
        <v>0</v>
      </c>
      <c r="R2294" s="4"/>
      <c r="S2294" s="12"/>
    </row>
    <row r="2295" spans="1:19" x14ac:dyDescent="0.25">
      <c r="A2295" s="9" t="s">
        <v>571</v>
      </c>
      <c r="B2295" s="9" t="s">
        <v>571</v>
      </c>
      <c r="C2295" s="4">
        <v>201003883</v>
      </c>
      <c r="D2295" s="4" t="s">
        <v>2275</v>
      </c>
      <c r="E2295" s="4" t="str">
        <f>"079702010"</f>
        <v>079702010</v>
      </c>
      <c r="F2295" s="10">
        <v>40344</v>
      </c>
      <c r="G2295" s="11">
        <v>150000</v>
      </c>
      <c r="H2295" s="11">
        <v>150000</v>
      </c>
      <c r="I2295" s="4" t="s">
        <v>687</v>
      </c>
      <c r="J2295" s="4" t="s">
        <v>688</v>
      </c>
      <c r="K2295" s="11">
        <v>0</v>
      </c>
      <c r="L2295" s="4"/>
      <c r="M2295" s="4"/>
      <c r="N2295" s="11">
        <v>0</v>
      </c>
      <c r="O2295" s="4"/>
      <c r="P2295" s="4"/>
      <c r="Q2295" s="11">
        <v>0</v>
      </c>
      <c r="R2295" s="4"/>
      <c r="S2295" s="12"/>
    </row>
    <row r="2296" spans="1:19" x14ac:dyDescent="0.25">
      <c r="A2296" s="9" t="s">
        <v>571</v>
      </c>
      <c r="B2296" s="9" t="s">
        <v>571</v>
      </c>
      <c r="C2296" s="4">
        <v>201003903</v>
      </c>
      <c r="D2296" s="4" t="s">
        <v>2276</v>
      </c>
      <c r="E2296" s="4" t="str">
        <f>"077452010"</f>
        <v>077452010</v>
      </c>
      <c r="F2296" s="10">
        <v>40340</v>
      </c>
      <c r="G2296" s="11">
        <v>150000</v>
      </c>
      <c r="H2296" s="11">
        <v>150000</v>
      </c>
      <c r="I2296" s="4" t="s">
        <v>687</v>
      </c>
      <c r="J2296" s="4" t="s">
        <v>688</v>
      </c>
      <c r="K2296" s="11">
        <v>0</v>
      </c>
      <c r="L2296" s="4"/>
      <c r="M2296" s="4"/>
      <c r="N2296" s="11">
        <v>0</v>
      </c>
      <c r="O2296" s="4"/>
      <c r="P2296" s="4"/>
      <c r="Q2296" s="11">
        <v>0</v>
      </c>
      <c r="R2296" s="4"/>
      <c r="S2296" s="12"/>
    </row>
    <row r="2297" spans="1:19" x14ac:dyDescent="0.25">
      <c r="A2297" s="9" t="s">
        <v>571</v>
      </c>
      <c r="B2297" s="9" t="s">
        <v>571</v>
      </c>
      <c r="C2297" s="4">
        <v>201003904</v>
      </c>
      <c r="D2297" s="4"/>
      <c r="E2297" s="4" t="str">
        <f>"094222010"</f>
        <v>094222010</v>
      </c>
      <c r="F2297" s="10">
        <v>40379</v>
      </c>
      <c r="G2297" s="11">
        <v>50000</v>
      </c>
      <c r="H2297" s="11">
        <v>50000</v>
      </c>
      <c r="I2297" s="4" t="s">
        <v>687</v>
      </c>
      <c r="J2297" s="4" t="s">
        <v>688</v>
      </c>
      <c r="K2297" s="11">
        <v>0</v>
      </c>
      <c r="L2297" s="4"/>
      <c r="M2297" s="4"/>
      <c r="N2297" s="11">
        <v>0</v>
      </c>
      <c r="O2297" s="4"/>
      <c r="P2297" s="4"/>
      <c r="Q2297" s="11">
        <v>0</v>
      </c>
      <c r="R2297" s="4"/>
      <c r="S2297" s="12"/>
    </row>
    <row r="2298" spans="1:19" x14ac:dyDescent="0.25">
      <c r="A2298" s="9" t="s">
        <v>571</v>
      </c>
      <c r="B2298" s="9" t="s">
        <v>571</v>
      </c>
      <c r="C2298" s="4">
        <v>201003905</v>
      </c>
      <c r="D2298" s="4" t="s">
        <v>2277</v>
      </c>
      <c r="E2298" s="4" t="str">
        <f>"076922010"</f>
        <v>076922010</v>
      </c>
      <c r="F2298" s="10">
        <v>40337</v>
      </c>
      <c r="G2298" s="11">
        <v>25000</v>
      </c>
      <c r="H2298" s="11">
        <v>25000</v>
      </c>
      <c r="I2298" s="4" t="s">
        <v>366</v>
      </c>
      <c r="J2298" s="4" t="s">
        <v>367</v>
      </c>
      <c r="K2298" s="11">
        <v>0</v>
      </c>
      <c r="L2298" s="4"/>
      <c r="M2298" s="4"/>
      <c r="N2298" s="11">
        <v>0</v>
      </c>
      <c r="O2298" s="4"/>
      <c r="P2298" s="4"/>
      <c r="Q2298" s="11">
        <v>0</v>
      </c>
      <c r="R2298" s="4"/>
      <c r="S2298" s="12"/>
    </row>
    <row r="2299" spans="1:19" x14ac:dyDescent="0.25">
      <c r="A2299" s="9" t="s">
        <v>571</v>
      </c>
      <c r="B2299" s="9" t="s">
        <v>571</v>
      </c>
      <c r="C2299" s="4">
        <v>201003906</v>
      </c>
      <c r="D2299" s="4"/>
      <c r="E2299" s="4" t="str">
        <f>"078782010"</f>
        <v>078782010</v>
      </c>
      <c r="F2299" s="10">
        <v>40340</v>
      </c>
      <c r="G2299" s="11">
        <v>2935.4</v>
      </c>
      <c r="H2299" s="11">
        <v>2935.4</v>
      </c>
      <c r="I2299" s="4" t="s">
        <v>366</v>
      </c>
      <c r="J2299" s="4" t="s">
        <v>367</v>
      </c>
      <c r="K2299" s="11">
        <v>0</v>
      </c>
      <c r="L2299" s="4"/>
      <c r="M2299" s="4"/>
      <c r="N2299" s="11">
        <v>0</v>
      </c>
      <c r="O2299" s="4"/>
      <c r="P2299" s="4"/>
      <c r="Q2299" s="11">
        <v>0</v>
      </c>
      <c r="R2299" s="4"/>
      <c r="S2299" s="12"/>
    </row>
    <row r="2300" spans="1:19" x14ac:dyDescent="0.25">
      <c r="A2300" s="9" t="s">
        <v>571</v>
      </c>
      <c r="B2300" s="9" t="s">
        <v>571</v>
      </c>
      <c r="C2300" s="4">
        <v>201003920</v>
      </c>
      <c r="D2300" s="4"/>
      <c r="E2300" s="4" t="str">
        <f>"078432010"</f>
        <v>078432010</v>
      </c>
      <c r="F2300" s="10">
        <v>40340</v>
      </c>
      <c r="G2300" s="11">
        <v>10000</v>
      </c>
      <c r="H2300" s="11">
        <v>10000</v>
      </c>
      <c r="I2300" s="4" t="s">
        <v>931</v>
      </c>
      <c r="J2300" s="4" t="s">
        <v>932</v>
      </c>
      <c r="K2300" s="11">
        <v>0</v>
      </c>
      <c r="L2300" s="4"/>
      <c r="M2300" s="4"/>
      <c r="N2300" s="11">
        <v>0</v>
      </c>
      <c r="O2300" s="4"/>
      <c r="P2300" s="4"/>
      <c r="Q2300" s="11">
        <v>0</v>
      </c>
      <c r="R2300" s="4"/>
      <c r="S2300" s="12"/>
    </row>
    <row r="2301" spans="1:19" x14ac:dyDescent="0.25">
      <c r="A2301" s="9" t="s">
        <v>571</v>
      </c>
      <c r="B2301" s="9" t="s">
        <v>571</v>
      </c>
      <c r="C2301" s="4">
        <v>201003928</v>
      </c>
      <c r="D2301" s="4" t="s">
        <v>2278</v>
      </c>
      <c r="E2301" s="4" t="str">
        <f>"079062010"</f>
        <v>079062010</v>
      </c>
      <c r="F2301" s="10">
        <v>40344</v>
      </c>
      <c r="G2301" s="11">
        <v>750000</v>
      </c>
      <c r="H2301" s="11">
        <v>750000</v>
      </c>
      <c r="I2301" s="4" t="s">
        <v>687</v>
      </c>
      <c r="J2301" s="4" t="s">
        <v>688</v>
      </c>
      <c r="K2301" s="11">
        <v>0</v>
      </c>
      <c r="L2301" s="4"/>
      <c r="M2301" s="4"/>
      <c r="N2301" s="11">
        <v>0</v>
      </c>
      <c r="O2301" s="4"/>
      <c r="P2301" s="4"/>
      <c r="Q2301" s="11">
        <v>0</v>
      </c>
      <c r="R2301" s="4"/>
      <c r="S2301" s="12"/>
    </row>
    <row r="2302" spans="1:19" x14ac:dyDescent="0.25">
      <c r="A2302" s="9" t="s">
        <v>571</v>
      </c>
      <c r="B2302" s="9" t="s">
        <v>571</v>
      </c>
      <c r="C2302" s="4">
        <v>201003936</v>
      </c>
      <c r="D2302" s="4" t="s">
        <v>2279</v>
      </c>
      <c r="E2302" s="4" t="str">
        <f>"081322010"</f>
        <v>081322010</v>
      </c>
      <c r="F2302" s="10">
        <v>40345</v>
      </c>
      <c r="G2302" s="11">
        <v>150000</v>
      </c>
      <c r="H2302" s="11">
        <v>150000</v>
      </c>
      <c r="I2302" s="4" t="s">
        <v>687</v>
      </c>
      <c r="J2302" s="4" t="s">
        <v>688</v>
      </c>
      <c r="K2302" s="11">
        <v>0</v>
      </c>
      <c r="L2302" s="4"/>
      <c r="M2302" s="4"/>
      <c r="N2302" s="11">
        <v>0</v>
      </c>
      <c r="O2302" s="4"/>
      <c r="P2302" s="4"/>
      <c r="Q2302" s="11">
        <v>0</v>
      </c>
      <c r="R2302" s="4"/>
      <c r="S2302" s="12"/>
    </row>
    <row r="2303" spans="1:19" x14ac:dyDescent="0.25">
      <c r="A2303" s="9" t="s">
        <v>571</v>
      </c>
      <c r="B2303" s="9" t="s">
        <v>571</v>
      </c>
      <c r="C2303" s="4">
        <v>201003937</v>
      </c>
      <c r="D2303" s="4" t="s">
        <v>2280</v>
      </c>
      <c r="E2303" s="4" t="str">
        <f>"081362010"</f>
        <v>081362010</v>
      </c>
      <c r="F2303" s="10">
        <v>40345</v>
      </c>
      <c r="G2303" s="11">
        <v>160000</v>
      </c>
      <c r="H2303" s="11">
        <v>160000</v>
      </c>
      <c r="I2303" s="4" t="s">
        <v>687</v>
      </c>
      <c r="J2303" s="4" t="s">
        <v>688</v>
      </c>
      <c r="K2303" s="11">
        <v>0</v>
      </c>
      <c r="L2303" s="4"/>
      <c r="M2303" s="4"/>
      <c r="N2303" s="11">
        <v>0</v>
      </c>
      <c r="O2303" s="4"/>
      <c r="P2303" s="4"/>
      <c r="Q2303" s="11">
        <v>0</v>
      </c>
      <c r="R2303" s="4"/>
      <c r="S2303" s="12"/>
    </row>
    <row r="2304" spans="1:19" x14ac:dyDescent="0.25">
      <c r="A2304" s="9" t="s">
        <v>571</v>
      </c>
      <c r="B2304" s="9" t="s">
        <v>571</v>
      </c>
      <c r="C2304" s="4">
        <v>201003945</v>
      </c>
      <c r="D2304" s="4"/>
      <c r="E2304" s="4" t="str">
        <f>"088702010"</f>
        <v>088702010</v>
      </c>
      <c r="F2304" s="10">
        <v>40367</v>
      </c>
      <c r="G2304" s="11">
        <v>35000</v>
      </c>
      <c r="H2304" s="11">
        <v>35000</v>
      </c>
      <c r="I2304" s="4" t="s">
        <v>687</v>
      </c>
      <c r="J2304" s="4" t="s">
        <v>688</v>
      </c>
      <c r="K2304" s="11">
        <v>0</v>
      </c>
      <c r="L2304" s="4"/>
      <c r="M2304" s="4"/>
      <c r="N2304" s="11">
        <v>0</v>
      </c>
      <c r="O2304" s="4"/>
      <c r="P2304" s="4"/>
      <c r="Q2304" s="11">
        <v>0</v>
      </c>
      <c r="R2304" s="4"/>
      <c r="S2304" s="12"/>
    </row>
    <row r="2305" spans="1:19" x14ac:dyDescent="0.25">
      <c r="A2305" s="9" t="s">
        <v>571</v>
      </c>
      <c r="B2305" s="9" t="s">
        <v>571</v>
      </c>
      <c r="C2305" s="4">
        <v>201003990</v>
      </c>
      <c r="D2305" s="4" t="s">
        <v>2281</v>
      </c>
      <c r="E2305" s="4" t="str">
        <f>"083282010"</f>
        <v>083282010</v>
      </c>
      <c r="F2305" s="10">
        <v>40352</v>
      </c>
      <c r="G2305" s="11">
        <v>12006.34</v>
      </c>
      <c r="H2305" s="11">
        <v>12006.34</v>
      </c>
      <c r="I2305" s="4" t="s">
        <v>931</v>
      </c>
      <c r="J2305" s="4" t="s">
        <v>932</v>
      </c>
      <c r="K2305" s="11">
        <v>0</v>
      </c>
      <c r="L2305" s="4"/>
      <c r="M2305" s="4"/>
      <c r="N2305" s="11">
        <v>0</v>
      </c>
      <c r="O2305" s="4"/>
      <c r="P2305" s="4"/>
      <c r="Q2305" s="11">
        <v>0</v>
      </c>
      <c r="R2305" s="4"/>
      <c r="S2305" s="12"/>
    </row>
    <row r="2306" spans="1:19" x14ac:dyDescent="0.25">
      <c r="A2306" s="9" t="s">
        <v>571</v>
      </c>
      <c r="B2306" s="9" t="s">
        <v>571</v>
      </c>
      <c r="C2306" s="4">
        <v>201003990</v>
      </c>
      <c r="D2306" s="4" t="s">
        <v>2281</v>
      </c>
      <c r="E2306" s="4" t="str">
        <f>"083302010"</f>
        <v>083302010</v>
      </c>
      <c r="F2306" s="10">
        <v>40353</v>
      </c>
      <c r="G2306" s="11">
        <v>102993.66</v>
      </c>
      <c r="H2306" s="11">
        <v>102993.66</v>
      </c>
      <c r="I2306" s="4" t="s">
        <v>931</v>
      </c>
      <c r="J2306" s="4" t="s">
        <v>932</v>
      </c>
      <c r="K2306" s="11">
        <v>0</v>
      </c>
      <c r="L2306" s="4"/>
      <c r="M2306" s="4"/>
      <c r="N2306" s="11">
        <v>0</v>
      </c>
      <c r="O2306" s="4"/>
      <c r="P2306" s="4"/>
      <c r="Q2306" s="11">
        <v>0</v>
      </c>
      <c r="R2306" s="4"/>
      <c r="S2306" s="12"/>
    </row>
    <row r="2307" spans="1:19" x14ac:dyDescent="0.25">
      <c r="A2307" s="9" t="s">
        <v>571</v>
      </c>
      <c r="B2307" s="9" t="s">
        <v>571</v>
      </c>
      <c r="C2307" s="4">
        <v>201004016</v>
      </c>
      <c r="D2307" s="4"/>
      <c r="E2307" s="4" t="str">
        <f>"085222010"</f>
        <v>085222010</v>
      </c>
      <c r="F2307" s="10">
        <v>40353</v>
      </c>
      <c r="G2307" s="11">
        <v>100000</v>
      </c>
      <c r="H2307" s="11">
        <v>100000</v>
      </c>
      <c r="I2307" s="4" t="s">
        <v>687</v>
      </c>
      <c r="J2307" s="4" t="s">
        <v>688</v>
      </c>
      <c r="K2307" s="11">
        <v>0</v>
      </c>
      <c r="L2307" s="4"/>
      <c r="M2307" s="4"/>
      <c r="N2307" s="11">
        <v>0</v>
      </c>
      <c r="O2307" s="4"/>
      <c r="P2307" s="4"/>
      <c r="Q2307" s="11">
        <v>0</v>
      </c>
      <c r="R2307" s="4"/>
      <c r="S2307" s="12"/>
    </row>
    <row r="2308" spans="1:19" x14ac:dyDescent="0.25">
      <c r="A2308" s="9" t="s">
        <v>571</v>
      </c>
      <c r="B2308" s="9" t="s">
        <v>571</v>
      </c>
      <c r="C2308" s="4">
        <v>201004021</v>
      </c>
      <c r="D2308" s="4"/>
      <c r="E2308" s="4" t="str">
        <f>"099212010"</f>
        <v>099212010</v>
      </c>
      <c r="F2308" s="10">
        <v>40396</v>
      </c>
      <c r="G2308" s="11">
        <v>5898</v>
      </c>
      <c r="H2308" s="11">
        <v>5898</v>
      </c>
      <c r="I2308" s="4" t="s">
        <v>54</v>
      </c>
      <c r="J2308" s="4" t="s">
        <v>55</v>
      </c>
      <c r="K2308" s="11">
        <v>0</v>
      </c>
      <c r="L2308" s="4"/>
      <c r="M2308" s="4"/>
      <c r="N2308" s="11">
        <v>0</v>
      </c>
      <c r="O2308" s="4"/>
      <c r="P2308" s="4"/>
      <c r="Q2308" s="11">
        <v>0</v>
      </c>
      <c r="R2308" s="4"/>
      <c r="S2308" s="12"/>
    </row>
    <row r="2309" spans="1:19" x14ac:dyDescent="0.25">
      <c r="A2309" s="9" t="s">
        <v>571</v>
      </c>
      <c r="B2309" s="9" t="s">
        <v>571</v>
      </c>
      <c r="C2309" s="4">
        <v>201004036</v>
      </c>
      <c r="D2309" s="4" t="s">
        <v>2282</v>
      </c>
      <c r="E2309" s="4" t="str">
        <f>"088762010"</f>
        <v>088762010</v>
      </c>
      <c r="F2309" s="10">
        <v>40366</v>
      </c>
      <c r="G2309" s="11">
        <v>50000</v>
      </c>
      <c r="H2309" s="11">
        <v>50000</v>
      </c>
      <c r="I2309" s="4" t="s">
        <v>687</v>
      </c>
      <c r="J2309" s="4" t="s">
        <v>688</v>
      </c>
      <c r="K2309" s="11">
        <v>0</v>
      </c>
      <c r="L2309" s="4"/>
      <c r="M2309" s="4"/>
      <c r="N2309" s="11">
        <v>0</v>
      </c>
      <c r="O2309" s="4"/>
      <c r="P2309" s="4"/>
      <c r="Q2309" s="11">
        <v>0</v>
      </c>
      <c r="R2309" s="4"/>
      <c r="S2309" s="12"/>
    </row>
    <row r="2310" spans="1:19" x14ac:dyDescent="0.25">
      <c r="A2310" s="9" t="s">
        <v>571</v>
      </c>
      <c r="B2310" s="9" t="s">
        <v>571</v>
      </c>
      <c r="C2310" s="4">
        <v>201004065</v>
      </c>
      <c r="D2310" s="4" t="s">
        <v>2283</v>
      </c>
      <c r="E2310" s="4" t="str">
        <f>"080962010"</f>
        <v>080962010</v>
      </c>
      <c r="F2310" s="10">
        <v>40346</v>
      </c>
      <c r="G2310" s="11">
        <v>3318.4</v>
      </c>
      <c r="H2310" s="11">
        <v>3318.4</v>
      </c>
      <c r="I2310" s="4" t="s">
        <v>366</v>
      </c>
      <c r="J2310" s="4" t="s">
        <v>367</v>
      </c>
      <c r="K2310" s="11">
        <v>0</v>
      </c>
      <c r="L2310" s="4"/>
      <c r="M2310" s="4"/>
      <c r="N2310" s="11">
        <v>0</v>
      </c>
      <c r="O2310" s="4"/>
      <c r="P2310" s="4"/>
      <c r="Q2310" s="11">
        <v>0</v>
      </c>
      <c r="R2310" s="4"/>
      <c r="S2310" s="12"/>
    </row>
    <row r="2311" spans="1:19" x14ac:dyDescent="0.25">
      <c r="A2311" s="9" t="s">
        <v>571</v>
      </c>
      <c r="B2311" s="9" t="s">
        <v>571</v>
      </c>
      <c r="C2311" s="4">
        <v>201004107</v>
      </c>
      <c r="D2311" s="4"/>
      <c r="E2311" s="4" t="str">
        <f>"080742010"</f>
        <v>080742010</v>
      </c>
      <c r="F2311" s="10">
        <v>40346</v>
      </c>
      <c r="G2311" s="11">
        <v>100000</v>
      </c>
      <c r="H2311" s="11">
        <v>100000</v>
      </c>
      <c r="I2311" s="4" t="s">
        <v>687</v>
      </c>
      <c r="J2311" s="4" t="s">
        <v>688</v>
      </c>
      <c r="K2311" s="11">
        <v>0</v>
      </c>
      <c r="L2311" s="4"/>
      <c r="M2311" s="4"/>
      <c r="N2311" s="11">
        <v>0</v>
      </c>
      <c r="O2311" s="4"/>
      <c r="P2311" s="4"/>
      <c r="Q2311" s="11">
        <v>0</v>
      </c>
      <c r="R2311" s="4"/>
      <c r="S2311" s="12"/>
    </row>
    <row r="2312" spans="1:19" x14ac:dyDescent="0.25">
      <c r="A2312" s="9" t="s">
        <v>571</v>
      </c>
      <c r="B2312" s="9" t="s">
        <v>571</v>
      </c>
      <c r="C2312" s="4">
        <v>201004124</v>
      </c>
      <c r="D2312" s="4" t="s">
        <v>2284</v>
      </c>
      <c r="E2312" s="4" t="str">
        <f>"086322010"</f>
        <v>086322010</v>
      </c>
      <c r="F2312" s="10">
        <v>40357</v>
      </c>
      <c r="G2312" s="11">
        <v>300000</v>
      </c>
      <c r="H2312" s="11">
        <v>300000</v>
      </c>
      <c r="I2312" s="4" t="s">
        <v>687</v>
      </c>
      <c r="J2312" s="4" t="s">
        <v>688</v>
      </c>
      <c r="K2312" s="11">
        <v>0</v>
      </c>
      <c r="L2312" s="4"/>
      <c r="M2312" s="4"/>
      <c r="N2312" s="11">
        <v>0</v>
      </c>
      <c r="O2312" s="4"/>
      <c r="P2312" s="4"/>
      <c r="Q2312" s="11">
        <v>0</v>
      </c>
      <c r="R2312" s="4"/>
      <c r="S2312" s="12"/>
    </row>
    <row r="2313" spans="1:19" x14ac:dyDescent="0.25">
      <c r="A2313" s="9" t="s">
        <v>571</v>
      </c>
      <c r="B2313" s="9" t="s">
        <v>571</v>
      </c>
      <c r="C2313" s="4">
        <v>201004143</v>
      </c>
      <c r="D2313" s="4" t="s">
        <v>2285</v>
      </c>
      <c r="E2313" s="4" t="str">
        <f>"082102010"</f>
        <v>082102010</v>
      </c>
      <c r="F2313" s="10">
        <v>40347</v>
      </c>
      <c r="G2313" s="11">
        <v>100000</v>
      </c>
      <c r="H2313" s="11">
        <v>100000</v>
      </c>
      <c r="I2313" s="4" t="s">
        <v>687</v>
      </c>
      <c r="J2313" s="4" t="s">
        <v>688</v>
      </c>
      <c r="K2313" s="11">
        <v>0</v>
      </c>
      <c r="L2313" s="4"/>
      <c r="M2313" s="4"/>
      <c r="N2313" s="11">
        <v>0</v>
      </c>
      <c r="O2313" s="4"/>
      <c r="P2313" s="4"/>
      <c r="Q2313" s="11">
        <v>0</v>
      </c>
      <c r="R2313" s="4"/>
      <c r="S2313" s="12"/>
    </row>
    <row r="2314" spans="1:19" x14ac:dyDescent="0.25">
      <c r="A2314" s="9" t="s">
        <v>571</v>
      </c>
      <c r="B2314" s="9" t="s">
        <v>571</v>
      </c>
      <c r="C2314" s="4">
        <v>201004151</v>
      </c>
      <c r="D2314" s="4" t="s">
        <v>2286</v>
      </c>
      <c r="E2314" s="4" t="str">
        <f>"085322010"</f>
        <v>085322010</v>
      </c>
      <c r="F2314" s="10">
        <v>40353</v>
      </c>
      <c r="G2314" s="11">
        <v>450000</v>
      </c>
      <c r="H2314" s="11">
        <v>450000</v>
      </c>
      <c r="I2314" s="4" t="s">
        <v>687</v>
      </c>
      <c r="J2314" s="4" t="s">
        <v>688</v>
      </c>
      <c r="K2314" s="11">
        <v>0</v>
      </c>
      <c r="L2314" s="4"/>
      <c r="M2314" s="4"/>
      <c r="N2314" s="11">
        <v>0</v>
      </c>
      <c r="O2314" s="4"/>
      <c r="P2314" s="4"/>
      <c r="Q2314" s="11">
        <v>0</v>
      </c>
      <c r="R2314" s="4"/>
      <c r="S2314" s="12"/>
    </row>
    <row r="2315" spans="1:19" x14ac:dyDescent="0.25">
      <c r="A2315" s="9" t="s">
        <v>571</v>
      </c>
      <c r="B2315" s="9" t="s">
        <v>571</v>
      </c>
      <c r="C2315" s="4">
        <v>201004174</v>
      </c>
      <c r="D2315" s="4"/>
      <c r="E2315" s="4" t="str">
        <f>"083212010"</f>
        <v>083212010</v>
      </c>
      <c r="F2315" s="10">
        <v>40354</v>
      </c>
      <c r="G2315" s="11">
        <v>20000</v>
      </c>
      <c r="H2315" s="11">
        <v>20000</v>
      </c>
      <c r="I2315" s="4" t="s">
        <v>687</v>
      </c>
      <c r="J2315" s="4" t="s">
        <v>688</v>
      </c>
      <c r="K2315" s="11">
        <v>0</v>
      </c>
      <c r="L2315" s="4"/>
      <c r="M2315" s="4"/>
      <c r="N2315" s="11">
        <v>0</v>
      </c>
      <c r="O2315" s="4"/>
      <c r="P2315" s="4"/>
      <c r="Q2315" s="11">
        <v>0</v>
      </c>
      <c r="R2315" s="4"/>
      <c r="S2315" s="12"/>
    </row>
    <row r="2316" spans="1:19" x14ac:dyDescent="0.25">
      <c r="A2316" s="9" t="s">
        <v>571</v>
      </c>
      <c r="B2316" s="9" t="s">
        <v>571</v>
      </c>
      <c r="C2316" s="4">
        <v>201004199</v>
      </c>
      <c r="D2316" s="4" t="s">
        <v>2287</v>
      </c>
      <c r="E2316" s="4" t="str">
        <f>"083422010"</f>
        <v>083422010</v>
      </c>
      <c r="F2316" s="10">
        <v>40352</v>
      </c>
      <c r="G2316" s="11">
        <v>100000</v>
      </c>
      <c r="H2316" s="11">
        <v>100000</v>
      </c>
      <c r="I2316" s="4" t="s">
        <v>687</v>
      </c>
      <c r="J2316" s="4" t="s">
        <v>688</v>
      </c>
      <c r="K2316" s="11">
        <v>0</v>
      </c>
      <c r="L2316" s="4"/>
      <c r="M2316" s="4"/>
      <c r="N2316" s="11">
        <v>0</v>
      </c>
      <c r="O2316" s="4"/>
      <c r="P2316" s="4"/>
      <c r="Q2316" s="11">
        <v>0</v>
      </c>
      <c r="R2316" s="4"/>
      <c r="S2316" s="12"/>
    </row>
    <row r="2317" spans="1:19" x14ac:dyDescent="0.25">
      <c r="A2317" s="9" t="s">
        <v>571</v>
      </c>
      <c r="B2317" s="9" t="s">
        <v>571</v>
      </c>
      <c r="C2317" s="4">
        <v>201004205</v>
      </c>
      <c r="D2317" s="4" t="s">
        <v>2288</v>
      </c>
      <c r="E2317" s="4" t="str">
        <f>"084042010"</f>
        <v>084042010</v>
      </c>
      <c r="F2317" s="10">
        <v>40354</v>
      </c>
      <c r="G2317" s="11">
        <v>9750</v>
      </c>
      <c r="H2317" s="11">
        <v>9750</v>
      </c>
      <c r="I2317" s="4" t="s">
        <v>366</v>
      </c>
      <c r="J2317" s="4" t="s">
        <v>367</v>
      </c>
      <c r="K2317" s="11">
        <v>0</v>
      </c>
      <c r="L2317" s="4"/>
      <c r="M2317" s="4"/>
      <c r="N2317" s="11">
        <v>0</v>
      </c>
      <c r="O2317" s="4"/>
      <c r="P2317" s="4"/>
      <c r="Q2317" s="11">
        <v>0</v>
      </c>
      <c r="R2317" s="4"/>
      <c r="S2317" s="12"/>
    </row>
    <row r="2318" spans="1:19" x14ac:dyDescent="0.25">
      <c r="A2318" s="9" t="s">
        <v>571</v>
      </c>
      <c r="B2318" s="9" t="s">
        <v>571</v>
      </c>
      <c r="C2318" s="4">
        <v>201004210</v>
      </c>
      <c r="D2318" s="4" t="s">
        <v>2289</v>
      </c>
      <c r="E2318" s="4" t="str">
        <f>"083482010"</f>
        <v>083482010</v>
      </c>
      <c r="F2318" s="10">
        <v>40353</v>
      </c>
      <c r="G2318" s="11">
        <v>30000</v>
      </c>
      <c r="H2318" s="11">
        <v>30000</v>
      </c>
      <c r="I2318" s="4" t="s">
        <v>687</v>
      </c>
      <c r="J2318" s="4" t="s">
        <v>688</v>
      </c>
      <c r="K2318" s="11">
        <v>0</v>
      </c>
      <c r="L2318" s="4"/>
      <c r="M2318" s="4"/>
      <c r="N2318" s="11">
        <v>0</v>
      </c>
      <c r="O2318" s="4"/>
      <c r="P2318" s="4"/>
      <c r="Q2318" s="11">
        <v>0</v>
      </c>
      <c r="R2318" s="4"/>
      <c r="S2318" s="12"/>
    </row>
    <row r="2319" spans="1:19" x14ac:dyDescent="0.25">
      <c r="A2319" s="9" t="s">
        <v>571</v>
      </c>
      <c r="B2319" s="9" t="s">
        <v>571</v>
      </c>
      <c r="C2319" s="4">
        <v>201004222</v>
      </c>
      <c r="D2319" s="4" t="s">
        <v>2290</v>
      </c>
      <c r="E2319" s="4" t="str">
        <f>"086642010"</f>
        <v>086642010</v>
      </c>
      <c r="F2319" s="10">
        <v>40357</v>
      </c>
      <c r="G2319" s="11">
        <v>165000</v>
      </c>
      <c r="H2319" s="11">
        <v>165000</v>
      </c>
      <c r="I2319" s="4" t="s">
        <v>687</v>
      </c>
      <c r="J2319" s="4" t="s">
        <v>688</v>
      </c>
      <c r="K2319" s="11">
        <v>0</v>
      </c>
      <c r="L2319" s="4"/>
      <c r="M2319" s="4"/>
      <c r="N2319" s="11">
        <v>0</v>
      </c>
      <c r="O2319" s="4"/>
      <c r="P2319" s="4"/>
      <c r="Q2319" s="11">
        <v>0</v>
      </c>
      <c r="R2319" s="4"/>
      <c r="S2319" s="12"/>
    </row>
    <row r="2320" spans="1:19" x14ac:dyDescent="0.25">
      <c r="A2320" s="9" t="s">
        <v>571</v>
      </c>
      <c r="B2320" s="9" t="s">
        <v>571</v>
      </c>
      <c r="C2320" s="4">
        <v>201004223</v>
      </c>
      <c r="D2320" s="4"/>
      <c r="E2320" s="4" t="str">
        <f>"084942010"</f>
        <v>084942010</v>
      </c>
      <c r="F2320" s="10">
        <v>40358</v>
      </c>
      <c r="G2320" s="11">
        <v>4966.74</v>
      </c>
      <c r="H2320" s="11">
        <v>4966.74</v>
      </c>
      <c r="I2320" s="4" t="s">
        <v>366</v>
      </c>
      <c r="J2320" s="4" t="s">
        <v>367</v>
      </c>
      <c r="K2320" s="11">
        <v>0</v>
      </c>
      <c r="L2320" s="4"/>
      <c r="M2320" s="4"/>
      <c r="N2320" s="11">
        <v>0</v>
      </c>
      <c r="O2320" s="4"/>
      <c r="P2320" s="4"/>
      <c r="Q2320" s="11">
        <v>0</v>
      </c>
      <c r="R2320" s="4"/>
      <c r="S2320" s="12"/>
    </row>
    <row r="2321" spans="1:19" x14ac:dyDescent="0.25">
      <c r="A2321" s="9" t="s">
        <v>571</v>
      </c>
      <c r="B2321" s="9" t="s">
        <v>571</v>
      </c>
      <c r="C2321" s="4">
        <v>201004227</v>
      </c>
      <c r="D2321" s="4"/>
      <c r="E2321" s="4" t="str">
        <f>"083962010"</f>
        <v>083962010</v>
      </c>
      <c r="F2321" s="10">
        <v>40354</v>
      </c>
      <c r="G2321" s="11">
        <v>5000</v>
      </c>
      <c r="H2321" s="11">
        <v>5000</v>
      </c>
      <c r="I2321" s="4" t="s">
        <v>687</v>
      </c>
      <c r="J2321" s="4" t="s">
        <v>688</v>
      </c>
      <c r="K2321" s="11">
        <v>0</v>
      </c>
      <c r="L2321" s="4"/>
      <c r="M2321" s="4"/>
      <c r="N2321" s="11">
        <v>0</v>
      </c>
      <c r="O2321" s="4"/>
      <c r="P2321" s="4"/>
      <c r="Q2321" s="11">
        <v>0</v>
      </c>
      <c r="R2321" s="4"/>
      <c r="S2321" s="12"/>
    </row>
    <row r="2322" spans="1:19" x14ac:dyDescent="0.25">
      <c r="A2322" s="9" t="s">
        <v>571</v>
      </c>
      <c r="B2322" s="9" t="s">
        <v>571</v>
      </c>
      <c r="C2322" s="4">
        <v>201004269</v>
      </c>
      <c r="D2322" s="4"/>
      <c r="E2322" s="4" t="str">
        <f>"084202010"</f>
        <v>084202010</v>
      </c>
      <c r="F2322" s="10">
        <v>40354</v>
      </c>
      <c r="G2322" s="11">
        <v>10000</v>
      </c>
      <c r="H2322" s="11">
        <v>10000</v>
      </c>
      <c r="I2322" s="4" t="s">
        <v>687</v>
      </c>
      <c r="J2322" s="4" t="s">
        <v>688</v>
      </c>
      <c r="K2322" s="11">
        <v>0</v>
      </c>
      <c r="L2322" s="4"/>
      <c r="M2322" s="4"/>
      <c r="N2322" s="11">
        <v>0</v>
      </c>
      <c r="O2322" s="4"/>
      <c r="P2322" s="4"/>
      <c r="Q2322" s="11">
        <v>0</v>
      </c>
      <c r="R2322" s="4"/>
      <c r="S2322" s="12"/>
    </row>
    <row r="2323" spans="1:19" x14ac:dyDescent="0.25">
      <c r="A2323" s="9" t="s">
        <v>571</v>
      </c>
      <c r="B2323" s="9" t="s">
        <v>571</v>
      </c>
      <c r="C2323" s="4">
        <v>201004290</v>
      </c>
      <c r="D2323" s="4"/>
      <c r="E2323" s="4" t="str">
        <f>"084982010"</f>
        <v>084982010</v>
      </c>
      <c r="F2323" s="10">
        <v>40353</v>
      </c>
      <c r="G2323" s="11">
        <v>100000</v>
      </c>
      <c r="H2323" s="11">
        <v>100000</v>
      </c>
      <c r="I2323" s="4" t="s">
        <v>687</v>
      </c>
      <c r="J2323" s="4" t="s">
        <v>688</v>
      </c>
      <c r="K2323" s="11">
        <v>0</v>
      </c>
      <c r="L2323" s="4"/>
      <c r="M2323" s="4"/>
      <c r="N2323" s="11">
        <v>0</v>
      </c>
      <c r="O2323" s="4"/>
      <c r="P2323" s="4"/>
      <c r="Q2323" s="11">
        <v>0</v>
      </c>
      <c r="R2323" s="4"/>
      <c r="S2323" s="12"/>
    </row>
    <row r="2324" spans="1:19" x14ac:dyDescent="0.25">
      <c r="A2324" s="9" t="s">
        <v>571</v>
      </c>
      <c r="B2324" s="9" t="s">
        <v>571</v>
      </c>
      <c r="C2324" s="4">
        <v>201004307</v>
      </c>
      <c r="D2324" s="4" t="s">
        <v>2291</v>
      </c>
      <c r="E2324" s="4" t="str">
        <f>"085902010"</f>
        <v>085902010</v>
      </c>
      <c r="F2324" s="10">
        <v>40357</v>
      </c>
      <c r="G2324" s="11">
        <v>41000</v>
      </c>
      <c r="H2324" s="11">
        <v>41000</v>
      </c>
      <c r="I2324" s="4" t="s">
        <v>366</v>
      </c>
      <c r="J2324" s="4" t="s">
        <v>367</v>
      </c>
      <c r="K2324" s="11">
        <v>0</v>
      </c>
      <c r="L2324" s="4"/>
      <c r="M2324" s="4"/>
      <c r="N2324" s="11">
        <v>0</v>
      </c>
      <c r="O2324" s="4"/>
      <c r="P2324" s="4"/>
      <c r="Q2324" s="11">
        <v>0</v>
      </c>
      <c r="R2324" s="4"/>
      <c r="S2324" s="12"/>
    </row>
    <row r="2325" spans="1:19" x14ac:dyDescent="0.25">
      <c r="A2325" s="9" t="s">
        <v>571</v>
      </c>
      <c r="B2325" s="9" t="s">
        <v>571</v>
      </c>
      <c r="C2325" s="4">
        <v>201004309</v>
      </c>
      <c r="D2325" s="4"/>
      <c r="E2325" s="4" t="str">
        <f>"085922010"</f>
        <v>085922010</v>
      </c>
      <c r="F2325" s="10">
        <v>40357</v>
      </c>
      <c r="G2325" s="11">
        <v>3150</v>
      </c>
      <c r="H2325" s="11">
        <v>3150</v>
      </c>
      <c r="I2325" s="4" t="s">
        <v>54</v>
      </c>
      <c r="J2325" s="4" t="s">
        <v>55</v>
      </c>
      <c r="K2325" s="11">
        <v>0</v>
      </c>
      <c r="L2325" s="4"/>
      <c r="M2325" s="4"/>
      <c r="N2325" s="11">
        <v>0</v>
      </c>
      <c r="O2325" s="4"/>
      <c r="P2325" s="4"/>
      <c r="Q2325" s="11">
        <v>0</v>
      </c>
      <c r="R2325" s="4"/>
      <c r="S2325" s="12"/>
    </row>
    <row r="2326" spans="1:19" x14ac:dyDescent="0.25">
      <c r="A2326" s="9" t="s">
        <v>571</v>
      </c>
      <c r="B2326" s="9" t="s">
        <v>571</v>
      </c>
      <c r="C2326" s="4">
        <v>201004315</v>
      </c>
      <c r="D2326" s="4" t="s">
        <v>2292</v>
      </c>
      <c r="E2326" s="4" t="str">
        <f>"086222010"</f>
        <v>086222010</v>
      </c>
      <c r="F2326" s="10">
        <v>40354</v>
      </c>
      <c r="G2326" s="11">
        <v>125000</v>
      </c>
      <c r="H2326" s="11">
        <v>125000</v>
      </c>
      <c r="I2326" s="4" t="s">
        <v>687</v>
      </c>
      <c r="J2326" s="4" t="s">
        <v>688</v>
      </c>
      <c r="K2326" s="11">
        <v>0</v>
      </c>
      <c r="L2326" s="4"/>
      <c r="M2326" s="4"/>
      <c r="N2326" s="11">
        <v>0</v>
      </c>
      <c r="O2326" s="4"/>
      <c r="P2326" s="4"/>
      <c r="Q2326" s="11">
        <v>0</v>
      </c>
      <c r="R2326" s="4"/>
      <c r="S2326" s="12"/>
    </row>
    <row r="2327" spans="1:19" x14ac:dyDescent="0.25">
      <c r="A2327" s="9" t="s">
        <v>571</v>
      </c>
      <c r="B2327" s="9" t="s">
        <v>571</v>
      </c>
      <c r="C2327" s="4">
        <v>201004341</v>
      </c>
      <c r="D2327" s="4"/>
      <c r="E2327" s="4" t="str">
        <f>"087082010"</f>
        <v>087082010</v>
      </c>
      <c r="F2327" s="10">
        <v>40358</v>
      </c>
      <c r="G2327" s="11">
        <v>3500</v>
      </c>
      <c r="H2327" s="11">
        <v>3500</v>
      </c>
      <c r="I2327" s="4" t="s">
        <v>931</v>
      </c>
      <c r="J2327" s="4" t="s">
        <v>932</v>
      </c>
      <c r="K2327" s="11">
        <v>0</v>
      </c>
      <c r="L2327" s="4"/>
      <c r="M2327" s="4"/>
      <c r="N2327" s="11">
        <v>0</v>
      </c>
      <c r="O2327" s="4"/>
      <c r="P2327" s="4"/>
      <c r="Q2327" s="11">
        <v>0</v>
      </c>
      <c r="R2327" s="4"/>
      <c r="S2327" s="12"/>
    </row>
    <row r="2328" spans="1:19" x14ac:dyDescent="0.25">
      <c r="A2328" s="9" t="s">
        <v>571</v>
      </c>
      <c r="B2328" s="9" t="s">
        <v>571</v>
      </c>
      <c r="C2328" s="4">
        <v>201004355</v>
      </c>
      <c r="D2328" s="4" t="s">
        <v>2293</v>
      </c>
      <c r="E2328" s="4" t="str">
        <f>"087242010"</f>
        <v>087242010</v>
      </c>
      <c r="F2328" s="10">
        <v>40357</v>
      </c>
      <c r="G2328" s="11">
        <v>250000</v>
      </c>
      <c r="H2328" s="11">
        <v>250000</v>
      </c>
      <c r="I2328" s="4" t="s">
        <v>687</v>
      </c>
      <c r="J2328" s="4" t="s">
        <v>688</v>
      </c>
      <c r="K2328" s="11">
        <v>0</v>
      </c>
      <c r="L2328" s="4"/>
      <c r="M2328" s="4"/>
      <c r="N2328" s="11">
        <v>0</v>
      </c>
      <c r="O2328" s="4"/>
      <c r="P2328" s="4"/>
      <c r="Q2328" s="11">
        <v>0</v>
      </c>
      <c r="R2328" s="4"/>
      <c r="S2328" s="12"/>
    </row>
    <row r="2329" spans="1:19" x14ac:dyDescent="0.25">
      <c r="A2329" s="9" t="s">
        <v>571</v>
      </c>
      <c r="B2329" s="9" t="s">
        <v>571</v>
      </c>
      <c r="C2329" s="4">
        <v>201004379</v>
      </c>
      <c r="D2329" s="4"/>
      <c r="E2329" s="4" t="str">
        <f>"088602010"</f>
        <v>088602010</v>
      </c>
      <c r="F2329" s="10">
        <v>40367</v>
      </c>
      <c r="G2329" s="11">
        <v>2790</v>
      </c>
      <c r="H2329" s="11">
        <v>2790</v>
      </c>
      <c r="I2329" s="4" t="s">
        <v>54</v>
      </c>
      <c r="J2329" s="4" t="s">
        <v>55</v>
      </c>
      <c r="K2329" s="11">
        <v>0</v>
      </c>
      <c r="L2329" s="4"/>
      <c r="M2329" s="4"/>
      <c r="N2329" s="11">
        <v>0</v>
      </c>
      <c r="O2329" s="4"/>
      <c r="P2329" s="4"/>
      <c r="Q2329" s="11">
        <v>0</v>
      </c>
      <c r="R2329" s="4"/>
      <c r="S2329" s="12"/>
    </row>
    <row r="2330" spans="1:19" x14ac:dyDescent="0.25">
      <c r="A2330" s="9" t="s">
        <v>571</v>
      </c>
      <c r="B2330" s="9" t="s">
        <v>571</v>
      </c>
      <c r="C2330" s="4">
        <v>201004381</v>
      </c>
      <c r="D2330" s="4"/>
      <c r="E2330" s="4" t="str">
        <f>"089802010"</f>
        <v>089802010</v>
      </c>
      <c r="F2330" s="10">
        <v>40367</v>
      </c>
      <c r="G2330" s="11">
        <v>2700</v>
      </c>
      <c r="H2330" s="11">
        <v>2700</v>
      </c>
      <c r="I2330" s="4" t="s">
        <v>366</v>
      </c>
      <c r="J2330" s="4" t="s">
        <v>367</v>
      </c>
      <c r="K2330" s="11">
        <v>0</v>
      </c>
      <c r="L2330" s="4"/>
      <c r="M2330" s="4"/>
      <c r="N2330" s="11">
        <v>0</v>
      </c>
      <c r="O2330" s="4"/>
      <c r="P2330" s="4"/>
      <c r="Q2330" s="11">
        <v>0</v>
      </c>
      <c r="R2330" s="4"/>
      <c r="S2330" s="12"/>
    </row>
    <row r="2331" spans="1:19" x14ac:dyDescent="0.25">
      <c r="A2331" s="9" t="s">
        <v>571</v>
      </c>
      <c r="B2331" s="9" t="s">
        <v>571</v>
      </c>
      <c r="C2331" s="4">
        <v>201004390</v>
      </c>
      <c r="D2331" s="4"/>
      <c r="E2331" s="4" t="str">
        <f>"088102010"</f>
        <v>088102010</v>
      </c>
      <c r="F2331" s="10">
        <v>40367</v>
      </c>
      <c r="G2331" s="11">
        <v>2542.5</v>
      </c>
      <c r="H2331" s="11">
        <v>2542.5</v>
      </c>
      <c r="I2331" s="4" t="s">
        <v>366</v>
      </c>
      <c r="J2331" s="4" t="s">
        <v>367</v>
      </c>
      <c r="K2331" s="11">
        <v>0</v>
      </c>
      <c r="L2331" s="4"/>
      <c r="M2331" s="4"/>
      <c r="N2331" s="11">
        <v>0</v>
      </c>
      <c r="O2331" s="4"/>
      <c r="P2331" s="4"/>
      <c r="Q2331" s="11">
        <v>0</v>
      </c>
      <c r="R2331" s="4"/>
      <c r="S2331" s="12"/>
    </row>
    <row r="2332" spans="1:19" x14ac:dyDescent="0.25">
      <c r="A2332" s="9" t="s">
        <v>571</v>
      </c>
      <c r="B2332" s="9" t="s">
        <v>571</v>
      </c>
      <c r="C2332" s="4">
        <v>201004408</v>
      </c>
      <c r="D2332" s="4"/>
      <c r="E2332" s="4" t="str">
        <f>"087682010"</f>
        <v>087682010</v>
      </c>
      <c r="F2332" s="10">
        <v>40360</v>
      </c>
      <c r="G2332" s="11">
        <v>12500</v>
      </c>
      <c r="H2332" s="11">
        <v>12500</v>
      </c>
      <c r="I2332" s="4" t="s">
        <v>687</v>
      </c>
      <c r="J2332" s="4" t="s">
        <v>688</v>
      </c>
      <c r="K2332" s="11">
        <v>0</v>
      </c>
      <c r="L2332" s="4"/>
      <c r="M2332" s="4"/>
      <c r="N2332" s="11">
        <v>0</v>
      </c>
      <c r="O2332" s="4"/>
      <c r="P2332" s="4"/>
      <c r="Q2332" s="11">
        <v>0</v>
      </c>
      <c r="R2332" s="4"/>
      <c r="S2332" s="12"/>
    </row>
    <row r="2333" spans="1:19" x14ac:dyDescent="0.25">
      <c r="A2333" s="9" t="s">
        <v>571</v>
      </c>
      <c r="B2333" s="9" t="s">
        <v>571</v>
      </c>
      <c r="C2333" s="4">
        <v>201004423</v>
      </c>
      <c r="D2333" s="4" t="s">
        <v>2294</v>
      </c>
      <c r="E2333" s="4" t="str">
        <f>"089482010"</f>
        <v>089482010</v>
      </c>
      <c r="F2333" s="10">
        <v>40366</v>
      </c>
      <c r="G2333" s="11">
        <v>85000</v>
      </c>
      <c r="H2333" s="11">
        <v>85000</v>
      </c>
      <c r="I2333" s="4" t="s">
        <v>687</v>
      </c>
      <c r="J2333" s="4" t="s">
        <v>688</v>
      </c>
      <c r="K2333" s="11">
        <v>0</v>
      </c>
      <c r="L2333" s="4"/>
      <c r="M2333" s="4"/>
      <c r="N2333" s="11">
        <v>0</v>
      </c>
      <c r="O2333" s="4"/>
      <c r="P2333" s="4"/>
      <c r="Q2333" s="11">
        <v>0</v>
      </c>
      <c r="R2333" s="4"/>
      <c r="S2333" s="12"/>
    </row>
    <row r="2334" spans="1:19" x14ac:dyDescent="0.25">
      <c r="A2334" s="9" t="s">
        <v>571</v>
      </c>
      <c r="B2334" s="9" t="s">
        <v>571</v>
      </c>
      <c r="C2334" s="4">
        <v>201004426</v>
      </c>
      <c r="D2334" s="4"/>
      <c r="E2334" s="4" t="str">
        <f>"088922010"</f>
        <v>088922010</v>
      </c>
      <c r="F2334" s="10">
        <v>40366</v>
      </c>
      <c r="G2334" s="11">
        <v>10000</v>
      </c>
      <c r="H2334" s="11">
        <v>10000</v>
      </c>
      <c r="I2334" s="4" t="s">
        <v>687</v>
      </c>
      <c r="J2334" s="4" t="s">
        <v>688</v>
      </c>
      <c r="K2334" s="11">
        <v>0</v>
      </c>
      <c r="L2334" s="4"/>
      <c r="M2334" s="4"/>
      <c r="N2334" s="11">
        <v>0</v>
      </c>
      <c r="O2334" s="4"/>
      <c r="P2334" s="4"/>
      <c r="Q2334" s="11">
        <v>0</v>
      </c>
      <c r="R2334" s="4"/>
      <c r="S2334" s="12"/>
    </row>
    <row r="2335" spans="1:19" x14ac:dyDescent="0.25">
      <c r="A2335" s="9" t="s">
        <v>571</v>
      </c>
      <c r="B2335" s="9" t="s">
        <v>571</v>
      </c>
      <c r="C2335" s="4">
        <v>201004427</v>
      </c>
      <c r="D2335" s="4" t="s">
        <v>1018</v>
      </c>
      <c r="E2335" s="4" t="str">
        <f>"088902010"</f>
        <v>088902010</v>
      </c>
      <c r="F2335" s="10">
        <v>40366</v>
      </c>
      <c r="G2335" s="11">
        <v>110000</v>
      </c>
      <c r="H2335" s="11">
        <v>110000</v>
      </c>
      <c r="I2335" s="4" t="s">
        <v>687</v>
      </c>
      <c r="J2335" s="4" t="s">
        <v>688</v>
      </c>
      <c r="K2335" s="11">
        <v>0</v>
      </c>
      <c r="L2335" s="4"/>
      <c r="M2335" s="4"/>
      <c r="N2335" s="11">
        <v>0</v>
      </c>
      <c r="O2335" s="4"/>
      <c r="P2335" s="4"/>
      <c r="Q2335" s="11">
        <v>0</v>
      </c>
      <c r="R2335" s="4"/>
      <c r="S2335" s="12"/>
    </row>
    <row r="2336" spans="1:19" x14ac:dyDescent="0.25">
      <c r="A2336" s="9" t="s">
        <v>571</v>
      </c>
      <c r="B2336" s="9" t="s">
        <v>571</v>
      </c>
      <c r="C2336" s="4">
        <v>201004452</v>
      </c>
      <c r="D2336" s="4" t="s">
        <v>2295</v>
      </c>
      <c r="E2336" s="4" t="str">
        <f>"090262010"</f>
        <v>090262010</v>
      </c>
      <c r="F2336" s="10">
        <v>40367</v>
      </c>
      <c r="G2336" s="11">
        <v>100000</v>
      </c>
      <c r="H2336" s="11">
        <v>100000</v>
      </c>
      <c r="I2336" s="4" t="s">
        <v>687</v>
      </c>
      <c r="J2336" s="4" t="s">
        <v>688</v>
      </c>
      <c r="K2336" s="11">
        <v>0</v>
      </c>
      <c r="L2336" s="4"/>
      <c r="M2336" s="4"/>
      <c r="N2336" s="11">
        <v>0</v>
      </c>
      <c r="O2336" s="4"/>
      <c r="P2336" s="4"/>
      <c r="Q2336" s="11">
        <v>0</v>
      </c>
      <c r="R2336" s="4"/>
      <c r="S2336" s="12"/>
    </row>
    <row r="2337" spans="1:19" x14ac:dyDescent="0.25">
      <c r="A2337" s="9" t="s">
        <v>571</v>
      </c>
      <c r="B2337" s="9" t="s">
        <v>571</v>
      </c>
      <c r="C2337" s="4">
        <v>201004468</v>
      </c>
      <c r="D2337" s="4"/>
      <c r="E2337" s="4" t="str">
        <f>"089702010"</f>
        <v>089702010</v>
      </c>
      <c r="F2337" s="10">
        <v>40367</v>
      </c>
      <c r="G2337" s="11">
        <v>65000</v>
      </c>
      <c r="H2337" s="11">
        <v>65000</v>
      </c>
      <c r="I2337" s="4" t="s">
        <v>687</v>
      </c>
      <c r="J2337" s="4" t="s">
        <v>688</v>
      </c>
      <c r="K2337" s="11">
        <v>0</v>
      </c>
      <c r="L2337" s="4"/>
      <c r="M2337" s="4"/>
      <c r="N2337" s="11">
        <v>0</v>
      </c>
      <c r="O2337" s="4"/>
      <c r="P2337" s="4"/>
      <c r="Q2337" s="11">
        <v>0</v>
      </c>
      <c r="R2337" s="4"/>
      <c r="S2337" s="12"/>
    </row>
    <row r="2338" spans="1:19" x14ac:dyDescent="0.25">
      <c r="A2338" s="9" t="s">
        <v>571</v>
      </c>
      <c r="B2338" s="9" t="s">
        <v>571</v>
      </c>
      <c r="C2338" s="4">
        <v>201004478</v>
      </c>
      <c r="D2338" s="4" t="s">
        <v>2296</v>
      </c>
      <c r="E2338" s="4" t="str">
        <f>"090982010"</f>
        <v>090982010</v>
      </c>
      <c r="F2338" s="10">
        <v>40368</v>
      </c>
      <c r="G2338" s="11">
        <v>20000</v>
      </c>
      <c r="H2338" s="11">
        <v>20000</v>
      </c>
      <c r="I2338" s="4" t="s">
        <v>687</v>
      </c>
      <c r="J2338" s="4" t="s">
        <v>688</v>
      </c>
      <c r="K2338" s="11">
        <v>0</v>
      </c>
      <c r="L2338" s="4"/>
      <c r="M2338" s="4"/>
      <c r="N2338" s="11">
        <v>0</v>
      </c>
      <c r="O2338" s="4"/>
      <c r="P2338" s="4"/>
      <c r="Q2338" s="11">
        <v>0</v>
      </c>
      <c r="R2338" s="4"/>
      <c r="S2338" s="12"/>
    </row>
    <row r="2339" spans="1:19" x14ac:dyDescent="0.25">
      <c r="A2339" s="9" t="s">
        <v>571</v>
      </c>
      <c r="B2339" s="9" t="s">
        <v>571</v>
      </c>
      <c r="C2339" s="4">
        <v>201004505</v>
      </c>
      <c r="D2339" s="4" t="s">
        <v>2297</v>
      </c>
      <c r="E2339" s="4" t="str">
        <f>"089922010"</f>
        <v>089922010</v>
      </c>
      <c r="F2339" s="10">
        <v>40367</v>
      </c>
      <c r="G2339" s="11">
        <v>50000</v>
      </c>
      <c r="H2339" s="11">
        <v>50000</v>
      </c>
      <c r="I2339" s="4" t="s">
        <v>687</v>
      </c>
      <c r="J2339" s="4" t="s">
        <v>688</v>
      </c>
      <c r="K2339" s="11">
        <v>0</v>
      </c>
      <c r="L2339" s="4"/>
      <c r="M2339" s="4"/>
      <c r="N2339" s="11">
        <v>0</v>
      </c>
      <c r="O2339" s="4"/>
      <c r="P2339" s="4"/>
      <c r="Q2339" s="11">
        <v>0</v>
      </c>
      <c r="R2339" s="4"/>
      <c r="S2339" s="12"/>
    </row>
    <row r="2340" spans="1:19" x14ac:dyDescent="0.25">
      <c r="A2340" s="9" t="s">
        <v>571</v>
      </c>
      <c r="B2340" s="9" t="s">
        <v>571</v>
      </c>
      <c r="C2340" s="4">
        <v>201004528</v>
      </c>
      <c r="D2340" s="4"/>
      <c r="E2340" s="4" t="str">
        <f>"090462010"</f>
        <v>090462010</v>
      </c>
      <c r="F2340" s="10">
        <v>40367</v>
      </c>
      <c r="G2340" s="11">
        <v>40000</v>
      </c>
      <c r="H2340" s="11">
        <v>40000</v>
      </c>
      <c r="I2340" s="4" t="s">
        <v>366</v>
      </c>
      <c r="J2340" s="4" t="s">
        <v>367</v>
      </c>
      <c r="K2340" s="11">
        <v>0</v>
      </c>
      <c r="L2340" s="4"/>
      <c r="M2340" s="4"/>
      <c r="N2340" s="11">
        <v>0</v>
      </c>
      <c r="O2340" s="4"/>
      <c r="P2340" s="4"/>
      <c r="Q2340" s="11">
        <v>0</v>
      </c>
      <c r="R2340" s="4"/>
      <c r="S2340" s="12"/>
    </row>
    <row r="2341" spans="1:19" x14ac:dyDescent="0.25">
      <c r="A2341" s="9" t="s">
        <v>571</v>
      </c>
      <c r="B2341" s="9" t="s">
        <v>571</v>
      </c>
      <c r="C2341" s="4">
        <v>201004541</v>
      </c>
      <c r="D2341" s="4"/>
      <c r="E2341" s="4" t="str">
        <f>"100172010"</f>
        <v>100172010</v>
      </c>
      <c r="F2341" s="10">
        <v>40402</v>
      </c>
      <c r="G2341" s="11">
        <v>2966.01</v>
      </c>
      <c r="H2341" s="11">
        <v>2966.01</v>
      </c>
      <c r="I2341" s="4" t="s">
        <v>366</v>
      </c>
      <c r="J2341" s="4" t="s">
        <v>367</v>
      </c>
      <c r="K2341" s="11">
        <v>0</v>
      </c>
      <c r="L2341" s="4"/>
      <c r="M2341" s="4"/>
      <c r="N2341" s="11">
        <v>0</v>
      </c>
      <c r="O2341" s="4"/>
      <c r="P2341" s="4"/>
      <c r="Q2341" s="11">
        <v>0</v>
      </c>
      <c r="R2341" s="4"/>
      <c r="S2341" s="12"/>
    </row>
    <row r="2342" spans="1:19" x14ac:dyDescent="0.25">
      <c r="A2342" s="9" t="s">
        <v>571</v>
      </c>
      <c r="B2342" s="9" t="s">
        <v>571</v>
      </c>
      <c r="C2342" s="4">
        <v>201004549</v>
      </c>
      <c r="D2342" s="4"/>
      <c r="E2342" s="4" t="str">
        <f>"090542010"</f>
        <v>090542010</v>
      </c>
      <c r="F2342" s="10">
        <v>40367</v>
      </c>
      <c r="G2342" s="11">
        <v>5000</v>
      </c>
      <c r="H2342" s="11">
        <v>5000</v>
      </c>
      <c r="I2342" s="4" t="s">
        <v>687</v>
      </c>
      <c r="J2342" s="4" t="s">
        <v>688</v>
      </c>
      <c r="K2342" s="11">
        <v>0</v>
      </c>
      <c r="L2342" s="4"/>
      <c r="M2342" s="4"/>
      <c r="N2342" s="11">
        <v>0</v>
      </c>
      <c r="O2342" s="4"/>
      <c r="P2342" s="4"/>
      <c r="Q2342" s="11">
        <v>0</v>
      </c>
      <c r="R2342" s="4"/>
      <c r="S2342" s="12"/>
    </row>
    <row r="2343" spans="1:19" x14ac:dyDescent="0.25">
      <c r="A2343" s="9" t="s">
        <v>571</v>
      </c>
      <c r="B2343" s="9" t="s">
        <v>571</v>
      </c>
      <c r="C2343" s="4">
        <v>201004592</v>
      </c>
      <c r="D2343" s="4" t="s">
        <v>2298</v>
      </c>
      <c r="E2343" s="4" t="str">
        <f>"091682010"</f>
        <v>091682010</v>
      </c>
      <c r="F2343" s="10">
        <v>40368</v>
      </c>
      <c r="G2343" s="11">
        <v>87500</v>
      </c>
      <c r="H2343" s="11">
        <v>87500</v>
      </c>
      <c r="I2343" s="4" t="s">
        <v>687</v>
      </c>
      <c r="J2343" s="4" t="s">
        <v>688</v>
      </c>
      <c r="K2343" s="11">
        <v>0</v>
      </c>
      <c r="L2343" s="4"/>
      <c r="M2343" s="4"/>
      <c r="N2343" s="11">
        <v>0</v>
      </c>
      <c r="O2343" s="4"/>
      <c r="P2343" s="4"/>
      <c r="Q2343" s="11">
        <v>0</v>
      </c>
      <c r="R2343" s="4"/>
      <c r="S2343" s="12"/>
    </row>
    <row r="2344" spans="1:19" x14ac:dyDescent="0.25">
      <c r="A2344" s="9" t="s">
        <v>571</v>
      </c>
      <c r="B2344" s="9" t="s">
        <v>571</v>
      </c>
      <c r="C2344" s="4">
        <v>201004594</v>
      </c>
      <c r="D2344" s="4"/>
      <c r="E2344" s="4" t="str">
        <f>"093482010"</f>
        <v>093482010</v>
      </c>
      <c r="F2344" s="10">
        <v>40375</v>
      </c>
      <c r="G2344" s="11">
        <v>3700</v>
      </c>
      <c r="H2344" s="11">
        <v>3700</v>
      </c>
      <c r="I2344" s="4" t="s">
        <v>54</v>
      </c>
      <c r="J2344" s="4" t="s">
        <v>55</v>
      </c>
      <c r="K2344" s="11">
        <v>0</v>
      </c>
      <c r="L2344" s="4"/>
      <c r="M2344" s="4"/>
      <c r="N2344" s="11">
        <v>0</v>
      </c>
      <c r="O2344" s="4"/>
      <c r="P2344" s="4"/>
      <c r="Q2344" s="11">
        <v>0</v>
      </c>
      <c r="R2344" s="4"/>
      <c r="S2344" s="12"/>
    </row>
    <row r="2345" spans="1:19" x14ac:dyDescent="0.25">
      <c r="A2345" s="9" t="s">
        <v>571</v>
      </c>
      <c r="B2345" s="9" t="s">
        <v>571</v>
      </c>
      <c r="C2345" s="4">
        <v>201004595</v>
      </c>
      <c r="D2345" s="4"/>
      <c r="E2345" s="4" t="str">
        <f>"093002010"</f>
        <v>093002010</v>
      </c>
      <c r="F2345" s="10">
        <v>40374</v>
      </c>
      <c r="G2345" s="11">
        <v>4000</v>
      </c>
      <c r="H2345" s="11">
        <v>4000</v>
      </c>
      <c r="I2345" s="4" t="s">
        <v>54</v>
      </c>
      <c r="J2345" s="4" t="s">
        <v>55</v>
      </c>
      <c r="K2345" s="11">
        <v>0</v>
      </c>
      <c r="L2345" s="4"/>
      <c r="M2345" s="4"/>
      <c r="N2345" s="11">
        <v>0</v>
      </c>
      <c r="O2345" s="4"/>
      <c r="P2345" s="4"/>
      <c r="Q2345" s="11">
        <v>0</v>
      </c>
      <c r="R2345" s="4"/>
      <c r="S2345" s="12"/>
    </row>
    <row r="2346" spans="1:19" x14ac:dyDescent="0.25">
      <c r="A2346" s="9" t="s">
        <v>571</v>
      </c>
      <c r="B2346" s="9" t="s">
        <v>571</v>
      </c>
      <c r="C2346" s="4">
        <v>201004596</v>
      </c>
      <c r="D2346" s="4"/>
      <c r="E2346" s="4" t="str">
        <f>"091852010"</f>
        <v>091852010</v>
      </c>
      <c r="F2346" s="10">
        <v>40372</v>
      </c>
      <c r="G2346" s="11">
        <v>4196.3999999999996</v>
      </c>
      <c r="H2346" s="11">
        <v>4196.3999999999996</v>
      </c>
      <c r="I2346" s="4" t="s">
        <v>366</v>
      </c>
      <c r="J2346" s="4" t="s">
        <v>367</v>
      </c>
      <c r="K2346" s="11">
        <v>0</v>
      </c>
      <c r="L2346" s="4"/>
      <c r="M2346" s="4"/>
      <c r="N2346" s="11">
        <v>0</v>
      </c>
      <c r="O2346" s="4"/>
      <c r="P2346" s="4"/>
      <c r="Q2346" s="11">
        <v>0</v>
      </c>
      <c r="R2346" s="4"/>
      <c r="S2346" s="12"/>
    </row>
    <row r="2347" spans="1:19" x14ac:dyDescent="0.25">
      <c r="A2347" s="9" t="s">
        <v>571</v>
      </c>
      <c r="B2347" s="9" t="s">
        <v>571</v>
      </c>
      <c r="C2347" s="4">
        <v>201004624</v>
      </c>
      <c r="D2347" s="4"/>
      <c r="E2347" s="4" t="str">
        <f>"093462010"</f>
        <v>093462010</v>
      </c>
      <c r="F2347" s="10">
        <v>40375</v>
      </c>
      <c r="G2347" s="11">
        <v>100000</v>
      </c>
      <c r="H2347" s="11">
        <v>100000</v>
      </c>
      <c r="I2347" s="4" t="s">
        <v>687</v>
      </c>
      <c r="J2347" s="4" t="s">
        <v>688</v>
      </c>
      <c r="K2347" s="11">
        <v>0</v>
      </c>
      <c r="L2347" s="4"/>
      <c r="M2347" s="4"/>
      <c r="N2347" s="11">
        <v>0</v>
      </c>
      <c r="O2347" s="4"/>
      <c r="P2347" s="4"/>
      <c r="Q2347" s="11">
        <v>0</v>
      </c>
      <c r="R2347" s="4"/>
      <c r="S2347" s="12"/>
    </row>
    <row r="2348" spans="1:19" x14ac:dyDescent="0.25">
      <c r="A2348" s="9" t="s">
        <v>571</v>
      </c>
      <c r="B2348" s="9" t="s">
        <v>571</v>
      </c>
      <c r="C2348" s="4">
        <v>201004642</v>
      </c>
      <c r="D2348" s="4"/>
      <c r="E2348" s="4" t="str">
        <f>"094422010"</f>
        <v>094422010</v>
      </c>
      <c r="F2348" s="10">
        <v>40380</v>
      </c>
      <c r="G2348" s="11">
        <v>15000</v>
      </c>
      <c r="H2348" s="11">
        <v>15000</v>
      </c>
      <c r="I2348" s="4" t="s">
        <v>687</v>
      </c>
      <c r="J2348" s="4" t="s">
        <v>688</v>
      </c>
      <c r="K2348" s="11">
        <v>0</v>
      </c>
      <c r="L2348" s="4"/>
      <c r="M2348" s="4"/>
      <c r="N2348" s="11">
        <v>0</v>
      </c>
      <c r="O2348" s="4"/>
      <c r="P2348" s="4"/>
      <c r="Q2348" s="11">
        <v>0</v>
      </c>
      <c r="R2348" s="4"/>
      <c r="S2348" s="12"/>
    </row>
    <row r="2349" spans="1:19" x14ac:dyDescent="0.25">
      <c r="A2349" s="9" t="s">
        <v>571</v>
      </c>
      <c r="B2349" s="9" t="s">
        <v>571</v>
      </c>
      <c r="C2349" s="4">
        <v>201004644</v>
      </c>
      <c r="D2349" s="4" t="s">
        <v>2299</v>
      </c>
      <c r="E2349" s="4" t="str">
        <f>"093102010"</f>
        <v>093102010</v>
      </c>
      <c r="F2349" s="10">
        <v>40374</v>
      </c>
      <c r="G2349" s="11">
        <v>300000</v>
      </c>
      <c r="H2349" s="11">
        <v>300000</v>
      </c>
      <c r="I2349" s="4" t="s">
        <v>687</v>
      </c>
      <c r="J2349" s="4" t="s">
        <v>688</v>
      </c>
      <c r="K2349" s="11">
        <v>0</v>
      </c>
      <c r="L2349" s="4"/>
      <c r="M2349" s="4"/>
      <c r="N2349" s="11">
        <v>0</v>
      </c>
      <c r="O2349" s="4"/>
      <c r="P2349" s="4"/>
      <c r="Q2349" s="11">
        <v>0</v>
      </c>
      <c r="R2349" s="4"/>
      <c r="S2349" s="12"/>
    </row>
    <row r="2350" spans="1:19" x14ac:dyDescent="0.25">
      <c r="A2350" s="9" t="s">
        <v>571</v>
      </c>
      <c r="B2350" s="9" t="s">
        <v>571</v>
      </c>
      <c r="C2350" s="4">
        <v>201004650</v>
      </c>
      <c r="D2350" s="4"/>
      <c r="E2350" s="4" t="str">
        <f>"092822010"</f>
        <v>092822010</v>
      </c>
      <c r="F2350" s="10">
        <v>40373</v>
      </c>
      <c r="G2350" s="11">
        <v>15000</v>
      </c>
      <c r="H2350" s="11">
        <v>15000</v>
      </c>
      <c r="I2350" s="4" t="s">
        <v>687</v>
      </c>
      <c r="J2350" s="4" t="s">
        <v>688</v>
      </c>
      <c r="K2350" s="11">
        <v>0</v>
      </c>
      <c r="L2350" s="4"/>
      <c r="M2350" s="4"/>
      <c r="N2350" s="11">
        <v>0</v>
      </c>
      <c r="O2350" s="4"/>
      <c r="P2350" s="4"/>
      <c r="Q2350" s="11">
        <v>0</v>
      </c>
      <c r="R2350" s="4"/>
      <c r="S2350" s="12"/>
    </row>
    <row r="2351" spans="1:19" x14ac:dyDescent="0.25">
      <c r="A2351" s="9" t="s">
        <v>571</v>
      </c>
      <c r="B2351" s="9" t="s">
        <v>571</v>
      </c>
      <c r="C2351" s="4">
        <v>201004651</v>
      </c>
      <c r="D2351" s="4" t="s">
        <v>2300</v>
      </c>
      <c r="E2351" s="4" t="str">
        <f>"093522010"</f>
        <v>093522010</v>
      </c>
      <c r="F2351" s="10">
        <v>40375</v>
      </c>
      <c r="G2351" s="11">
        <v>10000</v>
      </c>
      <c r="H2351" s="11">
        <v>10000</v>
      </c>
      <c r="I2351" s="4" t="s">
        <v>366</v>
      </c>
      <c r="J2351" s="4" t="s">
        <v>367</v>
      </c>
      <c r="K2351" s="11">
        <v>0</v>
      </c>
      <c r="L2351" s="4"/>
      <c r="M2351" s="4"/>
      <c r="N2351" s="11">
        <v>0</v>
      </c>
      <c r="O2351" s="4"/>
      <c r="P2351" s="4"/>
      <c r="Q2351" s="11">
        <v>0</v>
      </c>
      <c r="R2351" s="4"/>
      <c r="S2351" s="12"/>
    </row>
    <row r="2352" spans="1:19" x14ac:dyDescent="0.25">
      <c r="A2352" s="9" t="s">
        <v>571</v>
      </c>
      <c r="B2352" s="9" t="s">
        <v>571</v>
      </c>
      <c r="C2352" s="4">
        <v>201004666</v>
      </c>
      <c r="D2352" s="4" t="s">
        <v>2301</v>
      </c>
      <c r="E2352" s="4" t="str">
        <f>"093302010"</f>
        <v>093302010</v>
      </c>
      <c r="F2352" s="10">
        <v>40374</v>
      </c>
      <c r="G2352" s="11">
        <v>300000</v>
      </c>
      <c r="H2352" s="11">
        <v>300000</v>
      </c>
      <c r="I2352" s="4" t="s">
        <v>687</v>
      </c>
      <c r="J2352" s="4" t="s">
        <v>688</v>
      </c>
      <c r="K2352" s="11">
        <v>0</v>
      </c>
      <c r="L2352" s="4"/>
      <c r="M2352" s="4"/>
      <c r="N2352" s="11">
        <v>0</v>
      </c>
      <c r="O2352" s="4"/>
      <c r="P2352" s="4"/>
      <c r="Q2352" s="11">
        <v>0</v>
      </c>
      <c r="R2352" s="4"/>
      <c r="S2352" s="12"/>
    </row>
    <row r="2353" spans="1:19" x14ac:dyDescent="0.25">
      <c r="A2353" s="9" t="s">
        <v>571</v>
      </c>
      <c r="B2353" s="9" t="s">
        <v>571</v>
      </c>
      <c r="C2353" s="4">
        <v>201004667</v>
      </c>
      <c r="D2353" s="4"/>
      <c r="E2353" s="4" t="str">
        <f>"094342010"</f>
        <v>094342010</v>
      </c>
      <c r="F2353" s="10">
        <v>40380</v>
      </c>
      <c r="G2353" s="11">
        <v>50000</v>
      </c>
      <c r="H2353" s="11">
        <v>50000</v>
      </c>
      <c r="I2353" s="4" t="s">
        <v>687</v>
      </c>
      <c r="J2353" s="4" t="s">
        <v>688</v>
      </c>
      <c r="K2353" s="11">
        <v>0</v>
      </c>
      <c r="L2353" s="4"/>
      <c r="M2353" s="4"/>
      <c r="N2353" s="11">
        <v>0</v>
      </c>
      <c r="O2353" s="4"/>
      <c r="P2353" s="4"/>
      <c r="Q2353" s="11">
        <v>0</v>
      </c>
      <c r="R2353" s="4"/>
      <c r="S2353" s="12"/>
    </row>
    <row r="2354" spans="1:19" x14ac:dyDescent="0.25">
      <c r="A2354" s="9" t="s">
        <v>571</v>
      </c>
      <c r="B2354" s="9" t="s">
        <v>571</v>
      </c>
      <c r="C2354" s="4">
        <v>201004667</v>
      </c>
      <c r="D2354" s="4"/>
      <c r="E2354" s="4" t="str">
        <f>"094362010"</f>
        <v>094362010</v>
      </c>
      <c r="F2354" s="10">
        <v>40380</v>
      </c>
      <c r="G2354" s="11">
        <v>50000</v>
      </c>
      <c r="H2354" s="11">
        <v>50000</v>
      </c>
      <c r="I2354" s="4" t="s">
        <v>687</v>
      </c>
      <c r="J2354" s="4" t="s">
        <v>688</v>
      </c>
      <c r="K2354" s="11">
        <v>0</v>
      </c>
      <c r="L2354" s="4"/>
      <c r="M2354" s="4"/>
      <c r="N2354" s="11">
        <v>0</v>
      </c>
      <c r="O2354" s="4"/>
      <c r="P2354" s="4"/>
      <c r="Q2354" s="11">
        <v>0</v>
      </c>
      <c r="R2354" s="4"/>
      <c r="S2354" s="12"/>
    </row>
    <row r="2355" spans="1:19" x14ac:dyDescent="0.25">
      <c r="A2355" s="9" t="s">
        <v>571</v>
      </c>
      <c r="B2355" s="9" t="s">
        <v>571</v>
      </c>
      <c r="C2355" s="4">
        <v>201004686</v>
      </c>
      <c r="D2355" s="4"/>
      <c r="E2355" s="4" t="str">
        <f>"093322010"</f>
        <v>093322010</v>
      </c>
      <c r="F2355" s="10">
        <v>40375</v>
      </c>
      <c r="G2355" s="11">
        <v>3000</v>
      </c>
      <c r="H2355" s="11">
        <v>3000</v>
      </c>
      <c r="I2355" s="4" t="s">
        <v>54</v>
      </c>
      <c r="J2355" s="4" t="s">
        <v>55</v>
      </c>
      <c r="K2355" s="11">
        <v>0</v>
      </c>
      <c r="L2355" s="4"/>
      <c r="M2355" s="4"/>
      <c r="N2355" s="11">
        <v>0</v>
      </c>
      <c r="O2355" s="4"/>
      <c r="P2355" s="4"/>
      <c r="Q2355" s="11">
        <v>0</v>
      </c>
      <c r="R2355" s="4"/>
      <c r="S2355" s="12"/>
    </row>
    <row r="2356" spans="1:19" x14ac:dyDescent="0.25">
      <c r="A2356" s="9" t="s">
        <v>571</v>
      </c>
      <c r="B2356" s="9" t="s">
        <v>571</v>
      </c>
      <c r="C2356" s="4">
        <v>201004687</v>
      </c>
      <c r="D2356" s="4"/>
      <c r="E2356" s="4" t="str">
        <f>"093342010"</f>
        <v>093342010</v>
      </c>
      <c r="F2356" s="10">
        <v>40375</v>
      </c>
      <c r="G2356" s="11">
        <v>2578.83</v>
      </c>
      <c r="H2356" s="11">
        <v>2578.83</v>
      </c>
      <c r="I2356" s="4" t="s">
        <v>366</v>
      </c>
      <c r="J2356" s="4" t="s">
        <v>367</v>
      </c>
      <c r="K2356" s="11">
        <v>0</v>
      </c>
      <c r="L2356" s="4"/>
      <c r="M2356" s="4"/>
      <c r="N2356" s="11">
        <v>0</v>
      </c>
      <c r="O2356" s="4"/>
      <c r="P2356" s="4"/>
      <c r="Q2356" s="11">
        <v>0</v>
      </c>
      <c r="R2356" s="4"/>
      <c r="S2356" s="12"/>
    </row>
    <row r="2357" spans="1:19" x14ac:dyDescent="0.25">
      <c r="A2357" s="9" t="s">
        <v>571</v>
      </c>
      <c r="B2357" s="9" t="s">
        <v>571</v>
      </c>
      <c r="C2357" s="4">
        <v>201004705</v>
      </c>
      <c r="D2357" s="4" t="s">
        <v>2302</v>
      </c>
      <c r="E2357" s="4" t="str">
        <f>"095522010"</f>
        <v>095522010</v>
      </c>
      <c r="F2357" s="10">
        <v>40387</v>
      </c>
      <c r="G2357" s="11">
        <v>142500</v>
      </c>
      <c r="H2357" s="11">
        <v>142500</v>
      </c>
      <c r="I2357" s="4" t="s">
        <v>54</v>
      </c>
      <c r="J2357" s="4" t="s">
        <v>55</v>
      </c>
      <c r="K2357" s="11">
        <v>0</v>
      </c>
      <c r="L2357" s="4"/>
      <c r="M2357" s="4"/>
      <c r="N2357" s="11">
        <v>0</v>
      </c>
      <c r="O2357" s="4"/>
      <c r="P2357" s="4"/>
      <c r="Q2357" s="11">
        <v>0</v>
      </c>
      <c r="R2357" s="4"/>
      <c r="S2357" s="12"/>
    </row>
    <row r="2358" spans="1:19" x14ac:dyDescent="0.25">
      <c r="A2358" s="9" t="s">
        <v>571</v>
      </c>
      <c r="B2358" s="9" t="s">
        <v>571</v>
      </c>
      <c r="C2358" s="4">
        <v>201004709</v>
      </c>
      <c r="D2358" s="4" t="s">
        <v>2303</v>
      </c>
      <c r="E2358" s="4" t="str">
        <f>"094662010"</f>
        <v>094662010</v>
      </c>
      <c r="F2358" s="10">
        <v>40381</v>
      </c>
      <c r="G2358" s="11">
        <v>5000</v>
      </c>
      <c r="H2358" s="11">
        <v>5000</v>
      </c>
      <c r="I2358" s="4" t="s">
        <v>687</v>
      </c>
      <c r="J2358" s="4" t="s">
        <v>688</v>
      </c>
      <c r="K2358" s="11">
        <v>0</v>
      </c>
      <c r="L2358" s="4"/>
      <c r="M2358" s="4"/>
      <c r="N2358" s="11">
        <v>0</v>
      </c>
      <c r="O2358" s="4"/>
      <c r="P2358" s="4"/>
      <c r="Q2358" s="11">
        <v>0</v>
      </c>
      <c r="R2358" s="4"/>
      <c r="S2358" s="12"/>
    </row>
    <row r="2359" spans="1:19" x14ac:dyDescent="0.25">
      <c r="A2359" s="9" t="s">
        <v>571</v>
      </c>
      <c r="B2359" s="9" t="s">
        <v>571</v>
      </c>
      <c r="C2359" s="4">
        <v>201004716</v>
      </c>
      <c r="D2359" s="4"/>
      <c r="E2359" s="4" t="str">
        <f>"094682010"</f>
        <v>094682010</v>
      </c>
      <c r="F2359" s="10">
        <v>40381</v>
      </c>
      <c r="G2359" s="11">
        <v>4000</v>
      </c>
      <c r="H2359" s="11">
        <v>4000</v>
      </c>
      <c r="I2359" s="4" t="s">
        <v>366</v>
      </c>
      <c r="J2359" s="4" t="s">
        <v>367</v>
      </c>
      <c r="K2359" s="11">
        <v>0</v>
      </c>
      <c r="L2359" s="4"/>
      <c r="M2359" s="4"/>
      <c r="N2359" s="11">
        <v>0</v>
      </c>
      <c r="O2359" s="4"/>
      <c r="P2359" s="4"/>
      <c r="Q2359" s="11">
        <v>0</v>
      </c>
      <c r="R2359" s="4"/>
      <c r="S2359" s="12"/>
    </row>
    <row r="2360" spans="1:19" x14ac:dyDescent="0.25">
      <c r="A2360" s="9" t="s">
        <v>571</v>
      </c>
      <c r="B2360" s="9" t="s">
        <v>571</v>
      </c>
      <c r="C2360" s="4">
        <v>201004733</v>
      </c>
      <c r="D2360" s="4"/>
      <c r="E2360" s="4" t="str">
        <f>"095362010"</f>
        <v>095362010</v>
      </c>
      <c r="F2360" s="10">
        <v>40388</v>
      </c>
      <c r="G2360" s="11">
        <v>3600</v>
      </c>
      <c r="H2360" s="11">
        <v>3600</v>
      </c>
      <c r="I2360" s="4" t="s">
        <v>54</v>
      </c>
      <c r="J2360" s="4" t="s">
        <v>55</v>
      </c>
      <c r="K2360" s="11">
        <v>0</v>
      </c>
      <c r="L2360" s="4"/>
      <c r="M2360" s="4"/>
      <c r="N2360" s="11">
        <v>0</v>
      </c>
      <c r="O2360" s="4"/>
      <c r="P2360" s="4"/>
      <c r="Q2360" s="11">
        <v>0</v>
      </c>
      <c r="R2360" s="4"/>
      <c r="S2360" s="12"/>
    </row>
    <row r="2361" spans="1:19" x14ac:dyDescent="0.25">
      <c r="A2361" s="9" t="s">
        <v>571</v>
      </c>
      <c r="B2361" s="9" t="s">
        <v>571</v>
      </c>
      <c r="C2361" s="4">
        <v>201004737</v>
      </c>
      <c r="D2361" s="4"/>
      <c r="E2361" s="4" t="str">
        <f>"094922010"</f>
        <v>094922010</v>
      </c>
      <c r="F2361" s="10">
        <v>40381</v>
      </c>
      <c r="G2361" s="11">
        <v>75000</v>
      </c>
      <c r="H2361" s="11">
        <v>75000</v>
      </c>
      <c r="I2361" s="4" t="s">
        <v>687</v>
      </c>
      <c r="J2361" s="4" t="s">
        <v>688</v>
      </c>
      <c r="K2361" s="11">
        <v>0</v>
      </c>
      <c r="L2361" s="4"/>
      <c r="M2361" s="4"/>
      <c r="N2361" s="11">
        <v>0</v>
      </c>
      <c r="O2361" s="4"/>
      <c r="P2361" s="4"/>
      <c r="Q2361" s="11">
        <v>0</v>
      </c>
      <c r="R2361" s="4"/>
      <c r="S2361" s="12"/>
    </row>
    <row r="2362" spans="1:19" x14ac:dyDescent="0.25">
      <c r="A2362" s="9" t="s">
        <v>571</v>
      </c>
      <c r="B2362" s="9" t="s">
        <v>571</v>
      </c>
      <c r="C2362" s="4">
        <v>201004738</v>
      </c>
      <c r="D2362" s="4"/>
      <c r="E2362" s="4" t="str">
        <f>"107152010"</f>
        <v>107152010</v>
      </c>
      <c r="F2362" s="10">
        <v>40420</v>
      </c>
      <c r="G2362" s="11">
        <v>6963.69</v>
      </c>
      <c r="H2362" s="11">
        <v>6963.69</v>
      </c>
      <c r="I2362" s="4" t="s">
        <v>366</v>
      </c>
      <c r="J2362" s="4" t="s">
        <v>367</v>
      </c>
      <c r="K2362" s="11">
        <v>0</v>
      </c>
      <c r="L2362" s="4"/>
      <c r="M2362" s="4"/>
      <c r="N2362" s="11">
        <v>0</v>
      </c>
      <c r="O2362" s="4"/>
      <c r="P2362" s="4"/>
      <c r="Q2362" s="11">
        <v>0</v>
      </c>
      <c r="R2362" s="4"/>
      <c r="S2362" s="12"/>
    </row>
    <row r="2363" spans="1:19" x14ac:dyDescent="0.25">
      <c r="A2363" s="9" t="s">
        <v>571</v>
      </c>
      <c r="B2363" s="9" t="s">
        <v>571</v>
      </c>
      <c r="C2363" s="4">
        <v>201004741</v>
      </c>
      <c r="D2363" s="4" t="s">
        <v>2304</v>
      </c>
      <c r="E2363" s="4" t="str">
        <f>"097112010"</f>
        <v>097112010</v>
      </c>
      <c r="F2363" s="10">
        <v>40394</v>
      </c>
      <c r="G2363" s="11">
        <v>125000</v>
      </c>
      <c r="H2363" s="11">
        <v>125000</v>
      </c>
      <c r="I2363" s="4" t="s">
        <v>687</v>
      </c>
      <c r="J2363" s="4" t="s">
        <v>688</v>
      </c>
      <c r="K2363" s="11">
        <v>0</v>
      </c>
      <c r="L2363" s="4"/>
      <c r="M2363" s="4"/>
      <c r="N2363" s="11">
        <v>0</v>
      </c>
      <c r="O2363" s="4"/>
      <c r="P2363" s="4"/>
      <c r="Q2363" s="11">
        <v>0</v>
      </c>
      <c r="R2363" s="4"/>
      <c r="S2363" s="12"/>
    </row>
    <row r="2364" spans="1:19" x14ac:dyDescent="0.25">
      <c r="A2364" s="9" t="s">
        <v>571</v>
      </c>
      <c r="B2364" s="9" t="s">
        <v>571</v>
      </c>
      <c r="C2364" s="4">
        <v>201004746</v>
      </c>
      <c r="D2364" s="4" t="s">
        <v>2295</v>
      </c>
      <c r="E2364" s="4" t="str">
        <f>"095932010"</f>
        <v>095932010</v>
      </c>
      <c r="F2364" s="10">
        <v>40387</v>
      </c>
      <c r="G2364" s="11">
        <v>150000</v>
      </c>
      <c r="H2364" s="11">
        <v>150000</v>
      </c>
      <c r="I2364" s="4" t="s">
        <v>687</v>
      </c>
      <c r="J2364" s="4" t="s">
        <v>688</v>
      </c>
      <c r="K2364" s="11">
        <v>0</v>
      </c>
      <c r="L2364" s="4"/>
      <c r="M2364" s="4"/>
      <c r="N2364" s="11">
        <v>0</v>
      </c>
      <c r="O2364" s="4"/>
      <c r="P2364" s="4"/>
      <c r="Q2364" s="11">
        <v>0</v>
      </c>
      <c r="R2364" s="4"/>
      <c r="S2364" s="12"/>
    </row>
    <row r="2365" spans="1:19" x14ac:dyDescent="0.25">
      <c r="A2365" s="9" t="s">
        <v>571</v>
      </c>
      <c r="B2365" s="9" t="s">
        <v>571</v>
      </c>
      <c r="C2365" s="4">
        <v>201004748</v>
      </c>
      <c r="D2365" s="4"/>
      <c r="E2365" s="4" t="str">
        <f>"095382010"</f>
        <v>095382010</v>
      </c>
      <c r="F2365" s="10">
        <v>40388</v>
      </c>
      <c r="G2365" s="11">
        <v>6865.71</v>
      </c>
      <c r="H2365" s="11">
        <v>6865.71</v>
      </c>
      <c r="I2365" s="4" t="s">
        <v>366</v>
      </c>
      <c r="J2365" s="4" t="s">
        <v>367</v>
      </c>
      <c r="K2365" s="11">
        <v>0</v>
      </c>
      <c r="L2365" s="4"/>
      <c r="M2365" s="4"/>
      <c r="N2365" s="11">
        <v>0</v>
      </c>
      <c r="O2365" s="4"/>
      <c r="P2365" s="4"/>
      <c r="Q2365" s="11">
        <v>0</v>
      </c>
      <c r="R2365" s="4"/>
      <c r="S2365" s="12"/>
    </row>
    <row r="2366" spans="1:19" x14ac:dyDescent="0.25">
      <c r="A2366" s="9" t="s">
        <v>571</v>
      </c>
      <c r="B2366" s="9" t="s">
        <v>571</v>
      </c>
      <c r="C2366" s="4">
        <v>201004749</v>
      </c>
      <c r="D2366" s="4" t="s">
        <v>2305</v>
      </c>
      <c r="E2366" s="4" t="str">
        <f>"098542010"</f>
        <v>098542010</v>
      </c>
      <c r="F2366" s="10">
        <v>40394</v>
      </c>
      <c r="G2366" s="11">
        <v>10000</v>
      </c>
      <c r="H2366" s="11">
        <v>10000</v>
      </c>
      <c r="I2366" s="4" t="s">
        <v>366</v>
      </c>
      <c r="J2366" s="4" t="s">
        <v>367</v>
      </c>
      <c r="K2366" s="11">
        <v>0</v>
      </c>
      <c r="L2366" s="4"/>
      <c r="M2366" s="4"/>
      <c r="N2366" s="11">
        <v>0</v>
      </c>
      <c r="O2366" s="4"/>
      <c r="P2366" s="4"/>
      <c r="Q2366" s="11">
        <v>0</v>
      </c>
      <c r="R2366" s="4"/>
      <c r="S2366" s="12"/>
    </row>
    <row r="2367" spans="1:19" x14ac:dyDescent="0.25">
      <c r="A2367" s="9" t="s">
        <v>571</v>
      </c>
      <c r="B2367" s="9" t="s">
        <v>571</v>
      </c>
      <c r="C2367" s="4">
        <v>201004749</v>
      </c>
      <c r="D2367" s="4" t="s">
        <v>2305</v>
      </c>
      <c r="E2367" s="4" t="str">
        <f>"098562010"</f>
        <v>098562010</v>
      </c>
      <c r="F2367" s="10">
        <v>40394</v>
      </c>
      <c r="G2367" s="11">
        <v>486.96</v>
      </c>
      <c r="H2367" s="11">
        <v>486.96</v>
      </c>
      <c r="I2367" s="4" t="s">
        <v>366</v>
      </c>
      <c r="J2367" s="4" t="s">
        <v>367</v>
      </c>
      <c r="K2367" s="11">
        <v>0</v>
      </c>
      <c r="L2367" s="4"/>
      <c r="M2367" s="4"/>
      <c r="N2367" s="11">
        <v>0</v>
      </c>
      <c r="O2367" s="4"/>
      <c r="P2367" s="4"/>
      <c r="Q2367" s="11">
        <v>0</v>
      </c>
      <c r="R2367" s="4"/>
      <c r="S2367" s="12"/>
    </row>
    <row r="2368" spans="1:19" x14ac:dyDescent="0.25">
      <c r="A2368" s="9" t="s">
        <v>571</v>
      </c>
      <c r="B2368" s="9" t="s">
        <v>571</v>
      </c>
      <c r="C2368" s="4">
        <v>201004771</v>
      </c>
      <c r="D2368" s="4"/>
      <c r="E2368" s="4" t="str">
        <f>"097772010"</f>
        <v>097772010</v>
      </c>
      <c r="F2368" s="10">
        <v>40394</v>
      </c>
      <c r="G2368" s="11">
        <v>3988</v>
      </c>
      <c r="H2368" s="11">
        <v>3988</v>
      </c>
      <c r="I2368" s="4" t="s">
        <v>54</v>
      </c>
      <c r="J2368" s="4" t="s">
        <v>55</v>
      </c>
      <c r="K2368" s="11">
        <v>0</v>
      </c>
      <c r="L2368" s="4"/>
      <c r="M2368" s="4"/>
      <c r="N2368" s="11">
        <v>0</v>
      </c>
      <c r="O2368" s="4"/>
      <c r="P2368" s="4"/>
      <c r="Q2368" s="11">
        <v>0</v>
      </c>
      <c r="R2368" s="4"/>
      <c r="S2368" s="12"/>
    </row>
    <row r="2369" spans="1:19" x14ac:dyDescent="0.25">
      <c r="A2369" s="9" t="s">
        <v>571</v>
      </c>
      <c r="B2369" s="9" t="s">
        <v>571</v>
      </c>
      <c r="C2369" s="4">
        <v>201004790</v>
      </c>
      <c r="D2369" s="4"/>
      <c r="E2369" s="4" t="str">
        <f>"096012010"</f>
        <v>096012010</v>
      </c>
      <c r="F2369" s="10">
        <v>40387</v>
      </c>
      <c r="G2369" s="11">
        <v>2767</v>
      </c>
      <c r="H2369" s="11">
        <v>2767</v>
      </c>
      <c r="I2369" s="4" t="s">
        <v>54</v>
      </c>
      <c r="J2369" s="4" t="s">
        <v>55</v>
      </c>
      <c r="K2369" s="11">
        <v>0</v>
      </c>
      <c r="L2369" s="4"/>
      <c r="M2369" s="4"/>
      <c r="N2369" s="11">
        <v>0</v>
      </c>
      <c r="O2369" s="4"/>
      <c r="P2369" s="4"/>
      <c r="Q2369" s="11">
        <v>0</v>
      </c>
      <c r="R2369" s="4"/>
      <c r="S2369" s="12"/>
    </row>
    <row r="2370" spans="1:19" x14ac:dyDescent="0.25">
      <c r="A2370" s="9" t="s">
        <v>571</v>
      </c>
      <c r="B2370" s="9" t="s">
        <v>571</v>
      </c>
      <c r="C2370" s="4">
        <v>201004805</v>
      </c>
      <c r="D2370" s="4" t="s">
        <v>2306</v>
      </c>
      <c r="E2370" s="4" t="str">
        <f>"096572010"</f>
        <v>096572010</v>
      </c>
      <c r="F2370" s="10">
        <v>40387</v>
      </c>
      <c r="G2370" s="11">
        <v>100000</v>
      </c>
      <c r="H2370" s="11">
        <v>100000</v>
      </c>
      <c r="I2370" s="4" t="s">
        <v>687</v>
      </c>
      <c r="J2370" s="4" t="s">
        <v>688</v>
      </c>
      <c r="K2370" s="11">
        <v>0</v>
      </c>
      <c r="L2370" s="4"/>
      <c r="M2370" s="4"/>
      <c r="N2370" s="11">
        <v>0</v>
      </c>
      <c r="O2370" s="4"/>
      <c r="P2370" s="4"/>
      <c r="Q2370" s="11">
        <v>0</v>
      </c>
      <c r="R2370" s="4"/>
      <c r="S2370" s="12"/>
    </row>
    <row r="2371" spans="1:19" x14ac:dyDescent="0.25">
      <c r="A2371" s="9" t="s">
        <v>571</v>
      </c>
      <c r="B2371" s="9" t="s">
        <v>571</v>
      </c>
      <c r="C2371" s="4">
        <v>201004827</v>
      </c>
      <c r="D2371" s="4" t="s">
        <v>2307</v>
      </c>
      <c r="E2371" s="4" t="str">
        <f>"098782010"</f>
        <v>098782010</v>
      </c>
      <c r="F2371" s="10">
        <v>40396</v>
      </c>
      <c r="G2371" s="11">
        <v>70000</v>
      </c>
      <c r="H2371" s="11">
        <v>70000</v>
      </c>
      <c r="I2371" s="4" t="s">
        <v>687</v>
      </c>
      <c r="J2371" s="4" t="s">
        <v>688</v>
      </c>
      <c r="K2371" s="11">
        <v>0</v>
      </c>
      <c r="L2371" s="4"/>
      <c r="M2371" s="4"/>
      <c r="N2371" s="11">
        <v>0</v>
      </c>
      <c r="O2371" s="4"/>
      <c r="P2371" s="4"/>
      <c r="Q2371" s="11">
        <v>0</v>
      </c>
      <c r="R2371" s="4"/>
      <c r="S2371" s="12"/>
    </row>
    <row r="2372" spans="1:19" x14ac:dyDescent="0.25">
      <c r="A2372" s="9" t="s">
        <v>571</v>
      </c>
      <c r="B2372" s="9" t="s">
        <v>571</v>
      </c>
      <c r="C2372" s="4">
        <v>201004828</v>
      </c>
      <c r="D2372" s="4" t="s">
        <v>2308</v>
      </c>
      <c r="E2372" s="4" t="str">
        <f>"099592010"</f>
        <v>099592010</v>
      </c>
      <c r="F2372" s="10">
        <v>40401</v>
      </c>
      <c r="G2372" s="11">
        <v>300000</v>
      </c>
      <c r="H2372" s="11">
        <v>300000</v>
      </c>
      <c r="I2372" s="4" t="s">
        <v>687</v>
      </c>
      <c r="J2372" s="4" t="s">
        <v>688</v>
      </c>
      <c r="K2372" s="11">
        <v>0</v>
      </c>
      <c r="L2372" s="4"/>
      <c r="M2372" s="4"/>
      <c r="N2372" s="11">
        <v>0</v>
      </c>
      <c r="O2372" s="4"/>
      <c r="P2372" s="4"/>
      <c r="Q2372" s="11">
        <v>0</v>
      </c>
      <c r="R2372" s="4"/>
      <c r="S2372" s="12"/>
    </row>
    <row r="2373" spans="1:19" x14ac:dyDescent="0.25">
      <c r="A2373" s="9" t="s">
        <v>571</v>
      </c>
      <c r="B2373" s="9" t="s">
        <v>571</v>
      </c>
      <c r="C2373" s="4">
        <v>201004840</v>
      </c>
      <c r="D2373" s="4" t="s">
        <v>2309</v>
      </c>
      <c r="E2373" s="4" t="str">
        <f>"100062010"</f>
        <v>100062010</v>
      </c>
      <c r="F2373" s="10">
        <v>40401</v>
      </c>
      <c r="G2373" s="11">
        <v>150000</v>
      </c>
      <c r="H2373" s="11">
        <v>150000</v>
      </c>
      <c r="I2373" s="4" t="s">
        <v>687</v>
      </c>
      <c r="J2373" s="4" t="s">
        <v>688</v>
      </c>
      <c r="K2373" s="11">
        <v>0</v>
      </c>
      <c r="L2373" s="4"/>
      <c r="M2373" s="4"/>
      <c r="N2373" s="11">
        <v>0</v>
      </c>
      <c r="O2373" s="4"/>
      <c r="P2373" s="4"/>
      <c r="Q2373" s="11">
        <v>0</v>
      </c>
      <c r="R2373" s="4"/>
      <c r="S2373" s="12"/>
    </row>
    <row r="2374" spans="1:19" x14ac:dyDescent="0.25">
      <c r="A2374" s="9" t="s">
        <v>571</v>
      </c>
      <c r="B2374" s="9" t="s">
        <v>571</v>
      </c>
      <c r="C2374" s="4">
        <v>201004843</v>
      </c>
      <c r="D2374" s="4" t="s">
        <v>2310</v>
      </c>
      <c r="E2374" s="4" t="str">
        <f>"097752010"</f>
        <v>097752010</v>
      </c>
      <c r="F2374" s="10">
        <v>40394</v>
      </c>
      <c r="G2374" s="11">
        <v>150000</v>
      </c>
      <c r="H2374" s="11">
        <v>150000</v>
      </c>
      <c r="I2374" s="4" t="s">
        <v>687</v>
      </c>
      <c r="J2374" s="4" t="s">
        <v>688</v>
      </c>
      <c r="K2374" s="11">
        <v>0</v>
      </c>
      <c r="L2374" s="4"/>
      <c r="M2374" s="4"/>
      <c r="N2374" s="11">
        <v>0</v>
      </c>
      <c r="O2374" s="4"/>
      <c r="P2374" s="4"/>
      <c r="Q2374" s="11">
        <v>0</v>
      </c>
      <c r="R2374" s="4"/>
      <c r="S2374" s="12"/>
    </row>
    <row r="2375" spans="1:19" x14ac:dyDescent="0.25">
      <c r="A2375" s="9" t="s">
        <v>571</v>
      </c>
      <c r="B2375" s="9" t="s">
        <v>571</v>
      </c>
      <c r="C2375" s="4">
        <v>201004873</v>
      </c>
      <c r="D2375" s="4"/>
      <c r="E2375" s="4" t="str">
        <f>"097972010"</f>
        <v>097972010</v>
      </c>
      <c r="F2375" s="10">
        <v>40393</v>
      </c>
      <c r="G2375" s="11">
        <v>2545</v>
      </c>
      <c r="H2375" s="11">
        <v>2545</v>
      </c>
      <c r="I2375" s="4" t="s">
        <v>366</v>
      </c>
      <c r="J2375" s="4" t="s">
        <v>367</v>
      </c>
      <c r="K2375" s="11">
        <v>0</v>
      </c>
      <c r="L2375" s="4"/>
      <c r="M2375" s="4"/>
      <c r="N2375" s="11">
        <v>0</v>
      </c>
      <c r="O2375" s="4"/>
      <c r="P2375" s="4"/>
      <c r="Q2375" s="11">
        <v>0</v>
      </c>
      <c r="R2375" s="4"/>
      <c r="S2375" s="12"/>
    </row>
    <row r="2376" spans="1:19" x14ac:dyDescent="0.25">
      <c r="A2376" s="9" t="s">
        <v>571</v>
      </c>
      <c r="B2376" s="9" t="s">
        <v>571</v>
      </c>
      <c r="C2376" s="4">
        <v>201004884</v>
      </c>
      <c r="D2376" s="4" t="s">
        <v>2311</v>
      </c>
      <c r="E2376" s="4" t="str">
        <f>"100002010"</f>
        <v>100002010</v>
      </c>
      <c r="F2376" s="10">
        <v>40401</v>
      </c>
      <c r="G2376" s="11">
        <v>100000</v>
      </c>
      <c r="H2376" s="11">
        <v>100000</v>
      </c>
      <c r="I2376" s="4" t="s">
        <v>687</v>
      </c>
      <c r="J2376" s="4" t="s">
        <v>688</v>
      </c>
      <c r="K2376" s="11">
        <v>0</v>
      </c>
      <c r="L2376" s="4"/>
      <c r="M2376" s="4"/>
      <c r="N2376" s="11">
        <v>0</v>
      </c>
      <c r="O2376" s="4"/>
      <c r="P2376" s="4"/>
      <c r="Q2376" s="11">
        <v>0</v>
      </c>
      <c r="R2376" s="4"/>
      <c r="S2376" s="12"/>
    </row>
    <row r="2377" spans="1:19" x14ac:dyDescent="0.25">
      <c r="A2377" s="9" t="s">
        <v>571</v>
      </c>
      <c r="B2377" s="9" t="s">
        <v>571</v>
      </c>
      <c r="C2377" s="4">
        <v>201004886</v>
      </c>
      <c r="D2377" s="4" t="s">
        <v>2312</v>
      </c>
      <c r="E2377" s="4" t="str">
        <f>"097432010"</f>
        <v>097432010</v>
      </c>
      <c r="F2377" s="10">
        <v>40394</v>
      </c>
      <c r="G2377" s="11">
        <v>21000</v>
      </c>
      <c r="H2377" s="11">
        <v>21000</v>
      </c>
      <c r="I2377" s="4" t="s">
        <v>931</v>
      </c>
      <c r="J2377" s="4" t="s">
        <v>932</v>
      </c>
      <c r="K2377" s="11">
        <v>0</v>
      </c>
      <c r="L2377" s="4"/>
      <c r="M2377" s="4"/>
      <c r="N2377" s="11">
        <v>0</v>
      </c>
      <c r="O2377" s="4"/>
      <c r="P2377" s="4"/>
      <c r="Q2377" s="11">
        <v>0</v>
      </c>
      <c r="R2377" s="4"/>
      <c r="S2377" s="12"/>
    </row>
    <row r="2378" spans="1:19" x14ac:dyDescent="0.25">
      <c r="A2378" s="9" t="s">
        <v>571</v>
      </c>
      <c r="B2378" s="9" t="s">
        <v>571</v>
      </c>
      <c r="C2378" s="4">
        <v>201004892</v>
      </c>
      <c r="D2378" s="4"/>
      <c r="E2378" s="4" t="str">
        <f>"099982010"</f>
        <v>099982010</v>
      </c>
      <c r="F2378" s="10">
        <v>40401</v>
      </c>
      <c r="G2378" s="11">
        <v>30000</v>
      </c>
      <c r="H2378" s="11">
        <v>30000</v>
      </c>
      <c r="I2378" s="4" t="s">
        <v>687</v>
      </c>
      <c r="J2378" s="4" t="s">
        <v>688</v>
      </c>
      <c r="K2378" s="11">
        <v>0</v>
      </c>
      <c r="L2378" s="4"/>
      <c r="M2378" s="4"/>
      <c r="N2378" s="11">
        <v>0</v>
      </c>
      <c r="O2378" s="4"/>
      <c r="P2378" s="4"/>
      <c r="Q2378" s="11">
        <v>0</v>
      </c>
      <c r="R2378" s="4"/>
      <c r="S2378" s="12"/>
    </row>
    <row r="2379" spans="1:19" x14ac:dyDescent="0.25">
      <c r="A2379" s="9" t="s">
        <v>571</v>
      </c>
      <c r="B2379" s="9" t="s">
        <v>571</v>
      </c>
      <c r="C2379" s="4">
        <v>201004921</v>
      </c>
      <c r="D2379" s="4" t="s">
        <v>2313</v>
      </c>
      <c r="E2379" s="4" t="str">
        <f>"098682010"</f>
        <v>098682010</v>
      </c>
      <c r="F2379" s="10">
        <v>40394</v>
      </c>
      <c r="G2379" s="11">
        <v>150000</v>
      </c>
      <c r="H2379" s="11">
        <v>150000</v>
      </c>
      <c r="I2379" s="4" t="s">
        <v>687</v>
      </c>
      <c r="J2379" s="4" t="s">
        <v>688</v>
      </c>
      <c r="K2379" s="11">
        <v>0</v>
      </c>
      <c r="L2379" s="4"/>
      <c r="M2379" s="4"/>
      <c r="N2379" s="11">
        <v>0</v>
      </c>
      <c r="O2379" s="4"/>
      <c r="P2379" s="4"/>
      <c r="Q2379" s="11">
        <v>0</v>
      </c>
      <c r="R2379" s="4"/>
      <c r="S2379" s="12"/>
    </row>
    <row r="2380" spans="1:19" x14ac:dyDescent="0.25">
      <c r="A2380" s="9" t="s">
        <v>571</v>
      </c>
      <c r="B2380" s="9" t="s">
        <v>571</v>
      </c>
      <c r="C2380" s="4">
        <v>201004936</v>
      </c>
      <c r="D2380" s="4" t="s">
        <v>2314</v>
      </c>
      <c r="E2380" s="4" t="str">
        <f>"107132010"</f>
        <v>107132010</v>
      </c>
      <c r="F2380" s="10">
        <v>40420</v>
      </c>
      <c r="G2380" s="11">
        <v>165000</v>
      </c>
      <c r="H2380" s="11">
        <v>165000</v>
      </c>
      <c r="I2380" s="4" t="s">
        <v>687</v>
      </c>
      <c r="J2380" s="4" t="s">
        <v>688</v>
      </c>
      <c r="K2380" s="11">
        <v>0</v>
      </c>
      <c r="L2380" s="4"/>
      <c r="M2380" s="4"/>
      <c r="N2380" s="11">
        <v>0</v>
      </c>
      <c r="O2380" s="4"/>
      <c r="P2380" s="4"/>
      <c r="Q2380" s="11">
        <v>0</v>
      </c>
      <c r="R2380" s="4"/>
      <c r="S2380" s="12"/>
    </row>
    <row r="2381" spans="1:19" x14ac:dyDescent="0.25">
      <c r="A2381" s="9" t="s">
        <v>571</v>
      </c>
      <c r="B2381" s="9" t="s">
        <v>571</v>
      </c>
      <c r="C2381" s="4">
        <v>201004942</v>
      </c>
      <c r="D2381" s="4" t="s">
        <v>2315</v>
      </c>
      <c r="E2381" s="4" t="str">
        <f>"100732010"</f>
        <v>100732010</v>
      </c>
      <c r="F2381" s="10">
        <v>40403</v>
      </c>
      <c r="G2381" s="11">
        <v>100000</v>
      </c>
      <c r="H2381" s="11">
        <v>100000</v>
      </c>
      <c r="I2381" s="4" t="s">
        <v>687</v>
      </c>
      <c r="J2381" s="4" t="s">
        <v>688</v>
      </c>
      <c r="K2381" s="11">
        <v>0</v>
      </c>
      <c r="L2381" s="4"/>
      <c r="M2381" s="4"/>
      <c r="N2381" s="11">
        <v>0</v>
      </c>
      <c r="O2381" s="4"/>
      <c r="P2381" s="4"/>
      <c r="Q2381" s="11">
        <v>0</v>
      </c>
      <c r="R2381" s="4"/>
      <c r="S2381" s="12"/>
    </row>
    <row r="2382" spans="1:19" x14ac:dyDescent="0.25">
      <c r="A2382" s="9" t="s">
        <v>571</v>
      </c>
      <c r="B2382" s="9" t="s">
        <v>571</v>
      </c>
      <c r="C2382" s="4">
        <v>201004946</v>
      </c>
      <c r="D2382" s="4"/>
      <c r="E2382" s="4" t="str">
        <f>"101492010"</f>
        <v>101492010</v>
      </c>
      <c r="F2382" s="10">
        <v>40408</v>
      </c>
      <c r="G2382" s="11">
        <v>10000</v>
      </c>
      <c r="H2382" s="11">
        <v>10000</v>
      </c>
      <c r="I2382" s="4" t="s">
        <v>931</v>
      </c>
      <c r="J2382" s="4" t="s">
        <v>932</v>
      </c>
      <c r="K2382" s="11">
        <v>0</v>
      </c>
      <c r="L2382" s="4"/>
      <c r="M2382" s="4"/>
      <c r="N2382" s="11">
        <v>0</v>
      </c>
      <c r="O2382" s="4"/>
      <c r="P2382" s="4"/>
      <c r="Q2382" s="11">
        <v>0</v>
      </c>
      <c r="R2382" s="4"/>
      <c r="S2382" s="12"/>
    </row>
    <row r="2383" spans="1:19" x14ac:dyDescent="0.25">
      <c r="A2383" s="9" t="s">
        <v>571</v>
      </c>
      <c r="B2383" s="9" t="s">
        <v>571</v>
      </c>
      <c r="C2383" s="4">
        <v>201004950</v>
      </c>
      <c r="D2383" s="4"/>
      <c r="E2383" s="4" t="str">
        <f>"098292010"</f>
        <v>098292010</v>
      </c>
      <c r="F2383" s="10">
        <v>40394</v>
      </c>
      <c r="G2383" s="11">
        <v>15200</v>
      </c>
      <c r="H2383" s="11">
        <v>15200</v>
      </c>
      <c r="I2383" s="4" t="s">
        <v>687</v>
      </c>
      <c r="J2383" s="4" t="s">
        <v>688</v>
      </c>
      <c r="K2383" s="11">
        <v>0</v>
      </c>
      <c r="L2383" s="4"/>
      <c r="M2383" s="4"/>
      <c r="N2383" s="11">
        <v>0</v>
      </c>
      <c r="O2383" s="4"/>
      <c r="P2383" s="4"/>
      <c r="Q2383" s="11">
        <v>0</v>
      </c>
      <c r="R2383" s="4"/>
      <c r="S2383" s="12"/>
    </row>
    <row r="2384" spans="1:19" x14ac:dyDescent="0.25">
      <c r="A2384" s="9" t="s">
        <v>571</v>
      </c>
      <c r="B2384" s="9" t="s">
        <v>571</v>
      </c>
      <c r="C2384" s="4">
        <v>201004967</v>
      </c>
      <c r="D2384" s="4" t="s">
        <v>2316</v>
      </c>
      <c r="E2384" s="4" t="str">
        <f>"114152010"</f>
        <v>114152010</v>
      </c>
      <c r="F2384" s="10">
        <v>40449</v>
      </c>
      <c r="G2384" s="11">
        <v>90000</v>
      </c>
      <c r="H2384" s="11">
        <v>90000</v>
      </c>
      <c r="I2384" s="4" t="s">
        <v>931</v>
      </c>
      <c r="J2384" s="4" t="s">
        <v>932</v>
      </c>
      <c r="K2384" s="11">
        <v>0</v>
      </c>
      <c r="L2384" s="4"/>
      <c r="M2384" s="4"/>
      <c r="N2384" s="11">
        <v>0</v>
      </c>
      <c r="O2384" s="4"/>
      <c r="P2384" s="4"/>
      <c r="Q2384" s="11">
        <v>0</v>
      </c>
      <c r="R2384" s="4"/>
      <c r="S2384" s="12"/>
    </row>
    <row r="2385" spans="1:19" x14ac:dyDescent="0.25">
      <c r="A2385" s="9" t="s">
        <v>571</v>
      </c>
      <c r="B2385" s="9" t="s">
        <v>571</v>
      </c>
      <c r="C2385" s="4">
        <v>201005008</v>
      </c>
      <c r="D2385" s="4"/>
      <c r="E2385" s="4" t="str">
        <f>"100852010"</f>
        <v>100852010</v>
      </c>
      <c r="F2385" s="10">
        <v>40406</v>
      </c>
      <c r="G2385" s="11">
        <v>50000</v>
      </c>
      <c r="H2385" s="11">
        <v>50000</v>
      </c>
      <c r="I2385" s="4" t="s">
        <v>687</v>
      </c>
      <c r="J2385" s="4" t="s">
        <v>688</v>
      </c>
      <c r="K2385" s="11">
        <v>0</v>
      </c>
      <c r="L2385" s="4"/>
      <c r="M2385" s="4"/>
      <c r="N2385" s="11">
        <v>0</v>
      </c>
      <c r="O2385" s="4"/>
      <c r="P2385" s="4"/>
      <c r="Q2385" s="11">
        <v>0</v>
      </c>
      <c r="R2385" s="4"/>
      <c r="S2385" s="12"/>
    </row>
    <row r="2386" spans="1:19" x14ac:dyDescent="0.25">
      <c r="A2386" s="9" t="s">
        <v>571</v>
      </c>
      <c r="B2386" s="9" t="s">
        <v>571</v>
      </c>
      <c r="C2386" s="4">
        <v>201005014</v>
      </c>
      <c r="D2386" s="4"/>
      <c r="E2386" s="4" t="str">
        <f>"102572010"</f>
        <v>102572010</v>
      </c>
      <c r="F2386" s="10">
        <v>40409</v>
      </c>
      <c r="G2386" s="11">
        <v>125000</v>
      </c>
      <c r="H2386" s="11">
        <v>125000</v>
      </c>
      <c r="I2386" s="4" t="s">
        <v>687</v>
      </c>
      <c r="J2386" s="4" t="s">
        <v>688</v>
      </c>
      <c r="K2386" s="11">
        <v>0</v>
      </c>
      <c r="L2386" s="4"/>
      <c r="M2386" s="4"/>
      <c r="N2386" s="11">
        <v>0</v>
      </c>
      <c r="O2386" s="4"/>
      <c r="P2386" s="4"/>
      <c r="Q2386" s="11">
        <v>0</v>
      </c>
      <c r="R2386" s="4"/>
      <c r="S2386" s="12"/>
    </row>
    <row r="2387" spans="1:19" x14ac:dyDescent="0.25">
      <c r="A2387" s="9" t="s">
        <v>571</v>
      </c>
      <c r="B2387" s="9" t="s">
        <v>571</v>
      </c>
      <c r="C2387" s="4">
        <v>201005017</v>
      </c>
      <c r="D2387" s="4"/>
      <c r="E2387" s="4" t="str">
        <f>"101832010"</f>
        <v>101832010</v>
      </c>
      <c r="F2387" s="10">
        <v>40408</v>
      </c>
      <c r="G2387" s="11">
        <v>5803.93</v>
      </c>
      <c r="H2387" s="11">
        <v>5803.93</v>
      </c>
      <c r="I2387" s="4" t="s">
        <v>366</v>
      </c>
      <c r="J2387" s="4" t="s">
        <v>367</v>
      </c>
      <c r="K2387" s="11">
        <v>0</v>
      </c>
      <c r="L2387" s="4"/>
      <c r="M2387" s="4"/>
      <c r="N2387" s="11">
        <v>0</v>
      </c>
      <c r="O2387" s="4"/>
      <c r="P2387" s="4"/>
      <c r="Q2387" s="11">
        <v>0</v>
      </c>
      <c r="R2387" s="4"/>
      <c r="S2387" s="12"/>
    </row>
    <row r="2388" spans="1:19" x14ac:dyDescent="0.25">
      <c r="A2388" s="9" t="s">
        <v>571</v>
      </c>
      <c r="B2388" s="9" t="s">
        <v>571</v>
      </c>
      <c r="C2388" s="4">
        <v>201005056</v>
      </c>
      <c r="D2388" s="4" t="s">
        <v>2317</v>
      </c>
      <c r="E2388" s="4" t="str">
        <f>"102052010"</f>
        <v>102052010</v>
      </c>
      <c r="F2388" s="10">
        <v>40408</v>
      </c>
      <c r="G2388" s="11">
        <v>200000</v>
      </c>
      <c r="H2388" s="11">
        <v>200000</v>
      </c>
      <c r="I2388" s="4" t="s">
        <v>687</v>
      </c>
      <c r="J2388" s="4" t="s">
        <v>688</v>
      </c>
      <c r="K2388" s="11">
        <v>0</v>
      </c>
      <c r="L2388" s="4"/>
      <c r="M2388" s="4"/>
      <c r="N2388" s="11">
        <v>0</v>
      </c>
      <c r="O2388" s="4"/>
      <c r="P2388" s="4"/>
      <c r="Q2388" s="11">
        <v>0</v>
      </c>
      <c r="R2388" s="4"/>
      <c r="S2388" s="12"/>
    </row>
    <row r="2389" spans="1:19" x14ac:dyDescent="0.25">
      <c r="A2389" s="9" t="s">
        <v>571</v>
      </c>
      <c r="B2389" s="9" t="s">
        <v>571</v>
      </c>
      <c r="C2389" s="4">
        <v>201005069</v>
      </c>
      <c r="D2389" s="4" t="s">
        <v>2318</v>
      </c>
      <c r="E2389" s="4" t="str">
        <f>"107462010"</f>
        <v>107462010</v>
      </c>
      <c r="F2389" s="10">
        <v>40423</v>
      </c>
      <c r="G2389" s="11">
        <v>65000</v>
      </c>
      <c r="H2389" s="11">
        <v>65000</v>
      </c>
      <c r="I2389" s="4" t="s">
        <v>687</v>
      </c>
      <c r="J2389" s="4" t="s">
        <v>688</v>
      </c>
      <c r="K2389" s="11">
        <v>0</v>
      </c>
      <c r="L2389" s="4"/>
      <c r="M2389" s="4"/>
      <c r="N2389" s="11">
        <v>0</v>
      </c>
      <c r="O2389" s="4"/>
      <c r="P2389" s="4"/>
      <c r="Q2389" s="11">
        <v>0</v>
      </c>
      <c r="R2389" s="4"/>
      <c r="S2389" s="12"/>
    </row>
    <row r="2390" spans="1:19" x14ac:dyDescent="0.25">
      <c r="A2390" s="9" t="s">
        <v>571</v>
      </c>
      <c r="B2390" s="9" t="s">
        <v>571</v>
      </c>
      <c r="C2390" s="4">
        <v>201005074</v>
      </c>
      <c r="D2390" s="4" t="s">
        <v>2319</v>
      </c>
      <c r="E2390" s="4" t="str">
        <f>"105272010"</f>
        <v>105272010</v>
      </c>
      <c r="F2390" s="10">
        <v>40415</v>
      </c>
      <c r="G2390" s="11">
        <v>0</v>
      </c>
      <c r="H2390" s="11">
        <v>0</v>
      </c>
      <c r="I2390" s="4" t="s">
        <v>687</v>
      </c>
      <c r="J2390" s="4" t="s">
        <v>688</v>
      </c>
      <c r="K2390" s="11">
        <v>0</v>
      </c>
      <c r="L2390" s="4"/>
      <c r="M2390" s="4"/>
      <c r="N2390" s="11">
        <v>0</v>
      </c>
      <c r="O2390" s="4"/>
      <c r="P2390" s="4"/>
      <c r="Q2390" s="11">
        <v>0</v>
      </c>
      <c r="R2390" s="4"/>
      <c r="S2390" s="12"/>
    </row>
    <row r="2391" spans="1:19" x14ac:dyDescent="0.25">
      <c r="A2391" s="9" t="s">
        <v>571</v>
      </c>
      <c r="B2391" s="9" t="s">
        <v>571</v>
      </c>
      <c r="C2391" s="4">
        <v>201005092</v>
      </c>
      <c r="D2391" s="4" t="s">
        <v>1018</v>
      </c>
      <c r="E2391" s="4" t="str">
        <f>"106012010"</f>
        <v>106012010</v>
      </c>
      <c r="F2391" s="10">
        <v>40417</v>
      </c>
      <c r="G2391" s="11">
        <v>30087.07</v>
      </c>
      <c r="H2391" s="11">
        <v>30087.07</v>
      </c>
      <c r="I2391" s="4" t="s">
        <v>687</v>
      </c>
      <c r="J2391" s="4" t="s">
        <v>688</v>
      </c>
      <c r="K2391" s="11">
        <v>0</v>
      </c>
      <c r="L2391" s="4"/>
      <c r="M2391" s="4"/>
      <c r="N2391" s="11">
        <v>0</v>
      </c>
      <c r="O2391" s="4"/>
      <c r="P2391" s="4"/>
      <c r="Q2391" s="11">
        <v>0</v>
      </c>
      <c r="R2391" s="4"/>
      <c r="S2391" s="12"/>
    </row>
    <row r="2392" spans="1:19" x14ac:dyDescent="0.25">
      <c r="A2392" s="9" t="s">
        <v>571</v>
      </c>
      <c r="B2392" s="9" t="s">
        <v>571</v>
      </c>
      <c r="C2392" s="4">
        <v>201005095</v>
      </c>
      <c r="D2392" s="4" t="s">
        <v>2320</v>
      </c>
      <c r="E2392" s="4" t="str">
        <f>"102032010"</f>
        <v>102032010</v>
      </c>
      <c r="F2392" s="10">
        <v>40408</v>
      </c>
      <c r="G2392" s="11">
        <v>200000</v>
      </c>
      <c r="H2392" s="11">
        <v>200000</v>
      </c>
      <c r="I2392" s="4" t="s">
        <v>687</v>
      </c>
      <c r="J2392" s="4" t="s">
        <v>688</v>
      </c>
      <c r="K2392" s="11">
        <v>0</v>
      </c>
      <c r="L2392" s="4"/>
      <c r="M2392" s="4"/>
      <c r="N2392" s="11">
        <v>0</v>
      </c>
      <c r="O2392" s="4"/>
      <c r="P2392" s="4"/>
      <c r="Q2392" s="11">
        <v>0</v>
      </c>
      <c r="R2392" s="4"/>
      <c r="S2392" s="12"/>
    </row>
    <row r="2393" spans="1:19" x14ac:dyDescent="0.25">
      <c r="A2393" s="9" t="s">
        <v>571</v>
      </c>
      <c r="B2393" s="9" t="s">
        <v>571</v>
      </c>
      <c r="C2393" s="4">
        <v>201005096</v>
      </c>
      <c r="D2393" s="4" t="s">
        <v>2321</v>
      </c>
      <c r="E2393" s="4" t="str">
        <f>"106392010"</f>
        <v>106392010</v>
      </c>
      <c r="F2393" s="10">
        <v>40417</v>
      </c>
      <c r="G2393" s="11">
        <v>85000</v>
      </c>
      <c r="H2393" s="11">
        <v>85000</v>
      </c>
      <c r="I2393" s="4" t="s">
        <v>54</v>
      </c>
      <c r="J2393" s="4" t="s">
        <v>55</v>
      </c>
      <c r="K2393" s="11">
        <v>0</v>
      </c>
      <c r="L2393" s="4"/>
      <c r="M2393" s="4"/>
      <c r="N2393" s="11">
        <v>0</v>
      </c>
      <c r="O2393" s="4"/>
      <c r="P2393" s="4"/>
      <c r="Q2393" s="11">
        <v>0</v>
      </c>
      <c r="R2393" s="4"/>
      <c r="S2393" s="12"/>
    </row>
    <row r="2394" spans="1:19" x14ac:dyDescent="0.25">
      <c r="A2394" s="9" t="s">
        <v>571</v>
      </c>
      <c r="B2394" s="9" t="s">
        <v>571</v>
      </c>
      <c r="C2394" s="4">
        <v>201005098</v>
      </c>
      <c r="D2394" s="4" t="s">
        <v>2322</v>
      </c>
      <c r="E2394" s="4" t="str">
        <f>"106492010"</f>
        <v>106492010</v>
      </c>
      <c r="F2394" s="10">
        <v>40417</v>
      </c>
      <c r="G2394" s="11">
        <v>5000</v>
      </c>
      <c r="H2394" s="11">
        <v>5000</v>
      </c>
      <c r="I2394" s="4" t="s">
        <v>366</v>
      </c>
      <c r="J2394" s="4" t="s">
        <v>367</v>
      </c>
      <c r="K2394" s="11">
        <v>0</v>
      </c>
      <c r="L2394" s="4"/>
      <c r="M2394" s="4"/>
      <c r="N2394" s="11">
        <v>0</v>
      </c>
      <c r="O2394" s="4"/>
      <c r="P2394" s="4"/>
      <c r="Q2394" s="11">
        <v>0</v>
      </c>
      <c r="R2394" s="4"/>
      <c r="S2394" s="12"/>
    </row>
    <row r="2395" spans="1:19" x14ac:dyDescent="0.25">
      <c r="A2395" s="9" t="s">
        <v>571</v>
      </c>
      <c r="B2395" s="9" t="s">
        <v>571</v>
      </c>
      <c r="C2395" s="4">
        <v>201005101</v>
      </c>
      <c r="D2395" s="4"/>
      <c r="E2395" s="4" t="str">
        <f>"101972010"</f>
        <v>101972010</v>
      </c>
      <c r="F2395" s="10">
        <v>40408</v>
      </c>
      <c r="G2395" s="11">
        <v>3190.43</v>
      </c>
      <c r="H2395" s="11">
        <v>3190.43</v>
      </c>
      <c r="I2395" s="4" t="s">
        <v>366</v>
      </c>
      <c r="J2395" s="4" t="s">
        <v>367</v>
      </c>
      <c r="K2395" s="11">
        <v>0</v>
      </c>
      <c r="L2395" s="4"/>
      <c r="M2395" s="4"/>
      <c r="N2395" s="11">
        <v>0</v>
      </c>
      <c r="O2395" s="4"/>
      <c r="P2395" s="4"/>
      <c r="Q2395" s="11">
        <v>0</v>
      </c>
      <c r="R2395" s="4"/>
      <c r="S2395" s="12"/>
    </row>
    <row r="2396" spans="1:19" x14ac:dyDescent="0.25">
      <c r="A2396" s="9" t="s">
        <v>571</v>
      </c>
      <c r="B2396" s="9" t="s">
        <v>571</v>
      </c>
      <c r="C2396" s="4">
        <v>201005106</v>
      </c>
      <c r="D2396" s="4"/>
      <c r="E2396" s="4" t="str">
        <f>"101892010"</f>
        <v>101892010</v>
      </c>
      <c r="F2396" s="10">
        <v>40408</v>
      </c>
      <c r="G2396" s="11">
        <v>3774.55</v>
      </c>
      <c r="H2396" s="11">
        <v>3774.55</v>
      </c>
      <c r="I2396" s="4" t="s">
        <v>366</v>
      </c>
      <c r="J2396" s="4" t="s">
        <v>367</v>
      </c>
      <c r="K2396" s="11">
        <v>0</v>
      </c>
      <c r="L2396" s="4"/>
      <c r="M2396" s="4"/>
      <c r="N2396" s="11">
        <v>0</v>
      </c>
      <c r="O2396" s="4"/>
      <c r="P2396" s="4"/>
      <c r="Q2396" s="11">
        <v>0</v>
      </c>
      <c r="R2396" s="4"/>
      <c r="S2396" s="12"/>
    </row>
    <row r="2397" spans="1:19" x14ac:dyDescent="0.25">
      <c r="A2397" s="9" t="s">
        <v>571</v>
      </c>
      <c r="B2397" s="9" t="s">
        <v>571</v>
      </c>
      <c r="C2397" s="4">
        <v>201005108</v>
      </c>
      <c r="D2397" s="4" t="s">
        <v>2323</v>
      </c>
      <c r="E2397" s="4" t="str">
        <f>"101752010"</f>
        <v>101752010</v>
      </c>
      <c r="F2397" s="10">
        <v>40407</v>
      </c>
      <c r="G2397" s="11">
        <v>30000</v>
      </c>
      <c r="H2397" s="11">
        <v>30000</v>
      </c>
      <c r="I2397" s="4" t="s">
        <v>366</v>
      </c>
      <c r="J2397" s="4" t="s">
        <v>367</v>
      </c>
      <c r="K2397" s="11">
        <v>0</v>
      </c>
      <c r="L2397" s="4"/>
      <c r="M2397" s="4"/>
      <c r="N2397" s="11">
        <v>0</v>
      </c>
      <c r="O2397" s="4"/>
      <c r="P2397" s="4"/>
      <c r="Q2397" s="11">
        <v>0</v>
      </c>
      <c r="R2397" s="4"/>
      <c r="S2397" s="12"/>
    </row>
    <row r="2398" spans="1:19" x14ac:dyDescent="0.25">
      <c r="A2398" s="9" t="s">
        <v>571</v>
      </c>
      <c r="B2398" s="9" t="s">
        <v>571</v>
      </c>
      <c r="C2398" s="4">
        <v>201005113</v>
      </c>
      <c r="D2398" s="4"/>
      <c r="E2398" s="4" t="str">
        <f>"102072010"</f>
        <v>102072010</v>
      </c>
      <c r="F2398" s="10">
        <v>40408</v>
      </c>
      <c r="G2398" s="11">
        <v>5000</v>
      </c>
      <c r="H2398" s="11">
        <v>5000</v>
      </c>
      <c r="I2398" s="4" t="s">
        <v>687</v>
      </c>
      <c r="J2398" s="4" t="s">
        <v>688</v>
      </c>
      <c r="K2398" s="11">
        <v>0</v>
      </c>
      <c r="L2398" s="4"/>
      <c r="M2398" s="4"/>
      <c r="N2398" s="11">
        <v>0</v>
      </c>
      <c r="O2398" s="4"/>
      <c r="P2398" s="4"/>
      <c r="Q2398" s="11">
        <v>0</v>
      </c>
      <c r="R2398" s="4"/>
      <c r="S2398" s="12"/>
    </row>
    <row r="2399" spans="1:19" x14ac:dyDescent="0.25">
      <c r="A2399" s="9" t="s">
        <v>571</v>
      </c>
      <c r="B2399" s="9" t="s">
        <v>571</v>
      </c>
      <c r="C2399" s="4">
        <v>201005114</v>
      </c>
      <c r="D2399" s="4" t="s">
        <v>2324</v>
      </c>
      <c r="E2399" s="4" t="str">
        <f>"102852010"</f>
        <v>102852010</v>
      </c>
      <c r="F2399" s="10">
        <v>40408</v>
      </c>
      <c r="G2399" s="11">
        <v>25000</v>
      </c>
      <c r="H2399" s="11">
        <v>25000</v>
      </c>
      <c r="I2399" s="4" t="s">
        <v>687</v>
      </c>
      <c r="J2399" s="4" t="s">
        <v>688</v>
      </c>
      <c r="K2399" s="11">
        <v>0</v>
      </c>
      <c r="L2399" s="4"/>
      <c r="M2399" s="4"/>
      <c r="N2399" s="11">
        <v>0</v>
      </c>
      <c r="O2399" s="4"/>
      <c r="P2399" s="4"/>
      <c r="Q2399" s="11">
        <v>0</v>
      </c>
      <c r="R2399" s="4"/>
      <c r="S2399" s="12"/>
    </row>
    <row r="2400" spans="1:19" x14ac:dyDescent="0.25">
      <c r="A2400" s="9" t="s">
        <v>571</v>
      </c>
      <c r="B2400" s="9" t="s">
        <v>571</v>
      </c>
      <c r="C2400" s="4">
        <v>201005130</v>
      </c>
      <c r="D2400" s="4" t="s">
        <v>2325</v>
      </c>
      <c r="E2400" s="4" t="str">
        <f>"102232010"</f>
        <v>102232010</v>
      </c>
      <c r="F2400" s="10">
        <v>40408</v>
      </c>
      <c r="G2400" s="11">
        <v>300000</v>
      </c>
      <c r="H2400" s="11">
        <v>300000</v>
      </c>
      <c r="I2400" s="4" t="s">
        <v>687</v>
      </c>
      <c r="J2400" s="4" t="s">
        <v>688</v>
      </c>
      <c r="K2400" s="11">
        <v>0</v>
      </c>
      <c r="L2400" s="4"/>
      <c r="M2400" s="4"/>
      <c r="N2400" s="11">
        <v>0</v>
      </c>
      <c r="O2400" s="4"/>
      <c r="P2400" s="4"/>
      <c r="Q2400" s="11">
        <v>0</v>
      </c>
      <c r="R2400" s="4"/>
      <c r="S2400" s="12"/>
    </row>
    <row r="2401" spans="1:19" x14ac:dyDescent="0.25">
      <c r="A2401" s="9" t="s">
        <v>571</v>
      </c>
      <c r="B2401" s="9" t="s">
        <v>571</v>
      </c>
      <c r="C2401" s="4">
        <v>201005141</v>
      </c>
      <c r="D2401" s="4"/>
      <c r="E2401" s="4" t="str">
        <f>"102652010"</f>
        <v>102652010</v>
      </c>
      <c r="F2401" s="10">
        <v>40409</v>
      </c>
      <c r="G2401" s="11">
        <v>50000</v>
      </c>
      <c r="H2401" s="11">
        <v>50000</v>
      </c>
      <c r="I2401" s="4" t="s">
        <v>687</v>
      </c>
      <c r="J2401" s="4" t="s">
        <v>688</v>
      </c>
      <c r="K2401" s="11">
        <v>0</v>
      </c>
      <c r="L2401" s="4"/>
      <c r="M2401" s="4"/>
      <c r="N2401" s="11">
        <v>0</v>
      </c>
      <c r="O2401" s="4"/>
      <c r="P2401" s="4"/>
      <c r="Q2401" s="11">
        <v>0</v>
      </c>
      <c r="R2401" s="4"/>
      <c r="S2401" s="12"/>
    </row>
    <row r="2402" spans="1:19" x14ac:dyDescent="0.25">
      <c r="A2402" s="9" t="s">
        <v>571</v>
      </c>
      <c r="B2402" s="9" t="s">
        <v>571</v>
      </c>
      <c r="C2402" s="4">
        <v>201005142</v>
      </c>
      <c r="D2402" s="4"/>
      <c r="E2402" s="4" t="str">
        <f>"105832010"</f>
        <v>105832010</v>
      </c>
      <c r="F2402" s="10">
        <v>40416</v>
      </c>
      <c r="G2402" s="11">
        <v>4000</v>
      </c>
      <c r="H2402" s="11">
        <v>4000</v>
      </c>
      <c r="I2402" s="4" t="s">
        <v>54</v>
      </c>
      <c r="J2402" s="4" t="s">
        <v>55</v>
      </c>
      <c r="K2402" s="11">
        <v>0</v>
      </c>
      <c r="L2402" s="4"/>
      <c r="M2402" s="4"/>
      <c r="N2402" s="11">
        <v>0</v>
      </c>
      <c r="O2402" s="4"/>
      <c r="P2402" s="4"/>
      <c r="Q2402" s="11">
        <v>0</v>
      </c>
      <c r="R2402" s="4"/>
      <c r="S2402" s="12"/>
    </row>
    <row r="2403" spans="1:19" x14ac:dyDescent="0.25">
      <c r="A2403" s="9" t="s">
        <v>571</v>
      </c>
      <c r="B2403" s="9" t="s">
        <v>571</v>
      </c>
      <c r="C2403" s="4">
        <v>201005146</v>
      </c>
      <c r="D2403" s="4"/>
      <c r="E2403" s="4" t="str">
        <f>"102472010"</f>
        <v>102472010</v>
      </c>
      <c r="F2403" s="10">
        <v>40408</v>
      </c>
      <c r="G2403" s="11">
        <v>25000</v>
      </c>
      <c r="H2403" s="11">
        <v>25000</v>
      </c>
      <c r="I2403" s="4" t="s">
        <v>687</v>
      </c>
      <c r="J2403" s="4" t="s">
        <v>688</v>
      </c>
      <c r="K2403" s="11">
        <v>0</v>
      </c>
      <c r="L2403" s="4"/>
      <c r="M2403" s="4"/>
      <c r="N2403" s="11">
        <v>0</v>
      </c>
      <c r="O2403" s="4"/>
      <c r="P2403" s="4"/>
      <c r="Q2403" s="11">
        <v>0</v>
      </c>
      <c r="R2403" s="4"/>
      <c r="S2403" s="12"/>
    </row>
    <row r="2404" spans="1:19" x14ac:dyDescent="0.25">
      <c r="A2404" s="9" t="s">
        <v>571</v>
      </c>
      <c r="B2404" s="9" t="s">
        <v>571</v>
      </c>
      <c r="C2404" s="4">
        <v>201005154</v>
      </c>
      <c r="D2404" s="4"/>
      <c r="E2404" s="4" t="str">
        <f>"103832010"</f>
        <v>103832010</v>
      </c>
      <c r="F2404" s="10">
        <v>40410</v>
      </c>
      <c r="G2404" s="11">
        <v>85000</v>
      </c>
      <c r="H2404" s="11">
        <v>85000</v>
      </c>
      <c r="I2404" s="4" t="s">
        <v>687</v>
      </c>
      <c r="J2404" s="4" t="s">
        <v>688</v>
      </c>
      <c r="K2404" s="11">
        <v>0</v>
      </c>
      <c r="L2404" s="4"/>
      <c r="M2404" s="4"/>
      <c r="N2404" s="11">
        <v>0</v>
      </c>
      <c r="O2404" s="4"/>
      <c r="P2404" s="4"/>
      <c r="Q2404" s="11">
        <v>0</v>
      </c>
      <c r="R2404" s="4"/>
      <c r="S2404" s="12"/>
    </row>
    <row r="2405" spans="1:19" x14ac:dyDescent="0.25">
      <c r="A2405" s="9" t="s">
        <v>571</v>
      </c>
      <c r="B2405" s="9" t="s">
        <v>571</v>
      </c>
      <c r="C2405" s="4">
        <v>201005165</v>
      </c>
      <c r="D2405" s="4" t="s">
        <v>2326</v>
      </c>
      <c r="E2405" s="4" t="str">
        <f>"103412010"</f>
        <v>103412010</v>
      </c>
      <c r="F2405" s="10">
        <v>40409</v>
      </c>
      <c r="G2405" s="11">
        <v>82500</v>
      </c>
      <c r="H2405" s="11">
        <v>82500</v>
      </c>
      <c r="I2405" s="4" t="s">
        <v>687</v>
      </c>
      <c r="J2405" s="4" t="s">
        <v>688</v>
      </c>
      <c r="K2405" s="11">
        <v>0</v>
      </c>
      <c r="L2405" s="4"/>
      <c r="M2405" s="4"/>
      <c r="N2405" s="11">
        <v>0</v>
      </c>
      <c r="O2405" s="4"/>
      <c r="P2405" s="4"/>
      <c r="Q2405" s="11">
        <v>0</v>
      </c>
      <c r="R2405" s="4"/>
      <c r="S2405" s="12"/>
    </row>
    <row r="2406" spans="1:19" x14ac:dyDescent="0.25">
      <c r="A2406" s="9" t="s">
        <v>571</v>
      </c>
      <c r="B2406" s="9" t="s">
        <v>571</v>
      </c>
      <c r="C2406" s="4">
        <v>201005178</v>
      </c>
      <c r="D2406" s="4"/>
      <c r="E2406" s="4" t="str">
        <f>"103372010"</f>
        <v>103372010</v>
      </c>
      <c r="F2406" s="10">
        <v>40409</v>
      </c>
      <c r="G2406" s="11">
        <v>2556</v>
      </c>
      <c r="H2406" s="11">
        <v>2556</v>
      </c>
      <c r="I2406" s="4" t="s">
        <v>687</v>
      </c>
      <c r="J2406" s="4" t="s">
        <v>688</v>
      </c>
      <c r="K2406" s="11">
        <v>0</v>
      </c>
      <c r="L2406" s="4"/>
      <c r="M2406" s="4"/>
      <c r="N2406" s="11">
        <v>0</v>
      </c>
      <c r="O2406" s="4"/>
      <c r="P2406" s="4"/>
      <c r="Q2406" s="11">
        <v>0</v>
      </c>
      <c r="R2406" s="4"/>
      <c r="S2406" s="12"/>
    </row>
    <row r="2407" spans="1:19" x14ac:dyDescent="0.25">
      <c r="A2407" s="9" t="s">
        <v>571</v>
      </c>
      <c r="B2407" s="9" t="s">
        <v>571</v>
      </c>
      <c r="C2407" s="4">
        <v>201005185</v>
      </c>
      <c r="D2407" s="4"/>
      <c r="E2407" s="4" t="str">
        <f>"109612010"</f>
        <v>109612010</v>
      </c>
      <c r="F2407" s="10">
        <v>40430</v>
      </c>
      <c r="G2407" s="11">
        <v>85000</v>
      </c>
      <c r="H2407" s="11">
        <v>85000</v>
      </c>
      <c r="I2407" s="4" t="s">
        <v>687</v>
      </c>
      <c r="J2407" s="4" t="s">
        <v>688</v>
      </c>
      <c r="K2407" s="11">
        <v>0</v>
      </c>
      <c r="L2407" s="4"/>
      <c r="M2407" s="4"/>
      <c r="N2407" s="11">
        <v>0</v>
      </c>
      <c r="O2407" s="4"/>
      <c r="P2407" s="4"/>
      <c r="Q2407" s="11">
        <v>0</v>
      </c>
      <c r="R2407" s="4"/>
      <c r="S2407" s="12"/>
    </row>
    <row r="2408" spans="1:19" x14ac:dyDescent="0.25">
      <c r="A2408" s="9" t="s">
        <v>571</v>
      </c>
      <c r="B2408" s="9" t="s">
        <v>571</v>
      </c>
      <c r="C2408" s="4">
        <v>201005195</v>
      </c>
      <c r="D2408" s="4"/>
      <c r="E2408" s="4" t="str">
        <f>"104132010"</f>
        <v>104132010</v>
      </c>
      <c r="F2408" s="10">
        <v>40413</v>
      </c>
      <c r="G2408" s="11">
        <v>100000</v>
      </c>
      <c r="H2408" s="11">
        <v>100000</v>
      </c>
      <c r="I2408" s="4" t="s">
        <v>687</v>
      </c>
      <c r="J2408" s="4" t="s">
        <v>688</v>
      </c>
      <c r="K2408" s="11">
        <v>0</v>
      </c>
      <c r="L2408" s="4"/>
      <c r="M2408" s="4"/>
      <c r="N2408" s="11">
        <v>0</v>
      </c>
      <c r="O2408" s="4"/>
      <c r="P2408" s="4"/>
      <c r="Q2408" s="11">
        <v>0</v>
      </c>
      <c r="R2408" s="4"/>
      <c r="S2408" s="12"/>
    </row>
    <row r="2409" spans="1:19" x14ac:dyDescent="0.25">
      <c r="A2409" s="9" t="s">
        <v>571</v>
      </c>
      <c r="B2409" s="9" t="s">
        <v>571</v>
      </c>
      <c r="C2409" s="4">
        <v>201005205</v>
      </c>
      <c r="D2409" s="4"/>
      <c r="E2409" s="4" t="str">
        <f>"103852010"</f>
        <v>103852010</v>
      </c>
      <c r="F2409" s="10">
        <v>40410</v>
      </c>
      <c r="G2409" s="11">
        <v>50000</v>
      </c>
      <c r="H2409" s="11">
        <v>50000</v>
      </c>
      <c r="I2409" s="4" t="s">
        <v>687</v>
      </c>
      <c r="J2409" s="4" t="s">
        <v>688</v>
      </c>
      <c r="K2409" s="11">
        <v>0</v>
      </c>
      <c r="L2409" s="4"/>
      <c r="M2409" s="4"/>
      <c r="N2409" s="11">
        <v>0</v>
      </c>
      <c r="O2409" s="4"/>
      <c r="P2409" s="4"/>
      <c r="Q2409" s="11">
        <v>0</v>
      </c>
      <c r="R2409" s="4"/>
      <c r="S2409" s="12"/>
    </row>
    <row r="2410" spans="1:19" x14ac:dyDescent="0.25">
      <c r="A2410" s="9" t="s">
        <v>571</v>
      </c>
      <c r="B2410" s="9" t="s">
        <v>571</v>
      </c>
      <c r="C2410" s="4">
        <v>201005241</v>
      </c>
      <c r="D2410" s="4"/>
      <c r="E2410" s="4" t="str">
        <f>"108972010"</f>
        <v>108972010</v>
      </c>
      <c r="F2410" s="10">
        <v>40429</v>
      </c>
      <c r="G2410" s="11">
        <v>25000</v>
      </c>
      <c r="H2410" s="11">
        <v>25000</v>
      </c>
      <c r="I2410" s="4" t="s">
        <v>687</v>
      </c>
      <c r="J2410" s="4" t="s">
        <v>688</v>
      </c>
      <c r="K2410" s="11">
        <v>0</v>
      </c>
      <c r="L2410" s="4"/>
      <c r="M2410" s="4"/>
      <c r="N2410" s="11">
        <v>0</v>
      </c>
      <c r="O2410" s="4"/>
      <c r="P2410" s="4"/>
      <c r="Q2410" s="11">
        <v>0</v>
      </c>
      <c r="R2410" s="4"/>
      <c r="S2410" s="12"/>
    </row>
    <row r="2411" spans="1:19" x14ac:dyDescent="0.25">
      <c r="A2411" s="9" t="s">
        <v>571</v>
      </c>
      <c r="B2411" s="9" t="s">
        <v>571</v>
      </c>
      <c r="C2411" s="4">
        <v>201005257</v>
      </c>
      <c r="D2411" s="4"/>
      <c r="E2411" s="4" t="str">
        <f>"104952010"</f>
        <v>104952010</v>
      </c>
      <c r="F2411" s="10">
        <v>40415</v>
      </c>
      <c r="G2411" s="11">
        <v>25000</v>
      </c>
      <c r="H2411" s="11">
        <v>25000</v>
      </c>
      <c r="I2411" s="4" t="s">
        <v>687</v>
      </c>
      <c r="J2411" s="4" t="s">
        <v>688</v>
      </c>
      <c r="K2411" s="11">
        <v>0</v>
      </c>
      <c r="L2411" s="4"/>
      <c r="M2411" s="4"/>
      <c r="N2411" s="11">
        <v>0</v>
      </c>
      <c r="O2411" s="4"/>
      <c r="P2411" s="4"/>
      <c r="Q2411" s="11">
        <v>0</v>
      </c>
      <c r="R2411" s="4"/>
      <c r="S2411" s="12"/>
    </row>
    <row r="2412" spans="1:19" x14ac:dyDescent="0.25">
      <c r="A2412" s="9" t="s">
        <v>571</v>
      </c>
      <c r="B2412" s="9" t="s">
        <v>571</v>
      </c>
      <c r="C2412" s="4">
        <v>201005258</v>
      </c>
      <c r="D2412" s="4" t="s">
        <v>2327</v>
      </c>
      <c r="E2412" s="4" t="str">
        <f>"108252010"</f>
        <v>108252010</v>
      </c>
      <c r="F2412" s="10">
        <v>40424</v>
      </c>
      <c r="G2412" s="11">
        <v>8303.77</v>
      </c>
      <c r="H2412" s="11">
        <v>8303.77</v>
      </c>
      <c r="I2412" s="4" t="s">
        <v>366</v>
      </c>
      <c r="J2412" s="4" t="s">
        <v>367</v>
      </c>
      <c r="K2412" s="11">
        <v>0</v>
      </c>
      <c r="L2412" s="4"/>
      <c r="M2412" s="4"/>
      <c r="N2412" s="11">
        <v>0</v>
      </c>
      <c r="O2412" s="4"/>
      <c r="P2412" s="4"/>
      <c r="Q2412" s="11">
        <v>0</v>
      </c>
      <c r="R2412" s="4"/>
      <c r="S2412" s="12"/>
    </row>
    <row r="2413" spans="1:19" x14ac:dyDescent="0.25">
      <c r="A2413" s="9" t="s">
        <v>571</v>
      </c>
      <c r="B2413" s="9" t="s">
        <v>571</v>
      </c>
      <c r="C2413" s="4">
        <v>201005264</v>
      </c>
      <c r="D2413" s="4"/>
      <c r="E2413" s="4" t="str">
        <f>"104552010"</f>
        <v>104552010</v>
      </c>
      <c r="F2413" s="10">
        <v>40413</v>
      </c>
      <c r="G2413" s="11">
        <v>5116.18</v>
      </c>
      <c r="H2413" s="11">
        <v>5116.18</v>
      </c>
      <c r="I2413" s="4" t="s">
        <v>366</v>
      </c>
      <c r="J2413" s="4" t="s">
        <v>367</v>
      </c>
      <c r="K2413" s="11">
        <v>0</v>
      </c>
      <c r="L2413" s="4"/>
      <c r="M2413" s="4"/>
      <c r="N2413" s="11">
        <v>0</v>
      </c>
      <c r="O2413" s="4"/>
      <c r="P2413" s="4"/>
      <c r="Q2413" s="11">
        <v>0</v>
      </c>
      <c r="R2413" s="4"/>
      <c r="S2413" s="12"/>
    </row>
    <row r="2414" spans="1:19" x14ac:dyDescent="0.25">
      <c r="A2414" s="9" t="s">
        <v>571</v>
      </c>
      <c r="B2414" s="9" t="s">
        <v>571</v>
      </c>
      <c r="C2414" s="4">
        <v>201005265</v>
      </c>
      <c r="D2414" s="4"/>
      <c r="E2414" s="4" t="str">
        <f>"104792010"</f>
        <v>104792010</v>
      </c>
      <c r="F2414" s="10">
        <v>40413</v>
      </c>
      <c r="G2414" s="11">
        <v>7537.76</v>
      </c>
      <c r="H2414" s="11">
        <v>7537.76</v>
      </c>
      <c r="I2414" s="4" t="s">
        <v>366</v>
      </c>
      <c r="J2414" s="4" t="s">
        <v>367</v>
      </c>
      <c r="K2414" s="11">
        <v>0</v>
      </c>
      <c r="L2414" s="4"/>
      <c r="M2414" s="4"/>
      <c r="N2414" s="11">
        <v>0</v>
      </c>
      <c r="O2414" s="4"/>
      <c r="P2414" s="4"/>
      <c r="Q2414" s="11">
        <v>0</v>
      </c>
      <c r="R2414" s="4"/>
      <c r="S2414" s="12"/>
    </row>
    <row r="2415" spans="1:19" x14ac:dyDescent="0.25">
      <c r="A2415" s="9" t="s">
        <v>571</v>
      </c>
      <c r="B2415" s="9" t="s">
        <v>571</v>
      </c>
      <c r="C2415" s="4">
        <v>201005276</v>
      </c>
      <c r="D2415" s="4"/>
      <c r="E2415" s="4" t="str">
        <f>"111752010"</f>
        <v>111752010</v>
      </c>
      <c r="F2415" s="10">
        <v>40443</v>
      </c>
      <c r="G2415" s="11">
        <v>5255.01</v>
      </c>
      <c r="H2415" s="11">
        <v>5255.01</v>
      </c>
      <c r="I2415" s="4" t="s">
        <v>366</v>
      </c>
      <c r="J2415" s="4" t="s">
        <v>367</v>
      </c>
      <c r="K2415" s="11">
        <v>0</v>
      </c>
      <c r="L2415" s="4"/>
      <c r="M2415" s="4"/>
      <c r="N2415" s="11">
        <v>0</v>
      </c>
      <c r="O2415" s="4"/>
      <c r="P2415" s="4"/>
      <c r="Q2415" s="11">
        <v>0</v>
      </c>
      <c r="R2415" s="4"/>
      <c r="S2415" s="12"/>
    </row>
    <row r="2416" spans="1:19" x14ac:dyDescent="0.25">
      <c r="A2416" s="9" t="s">
        <v>571</v>
      </c>
      <c r="B2416" s="9" t="s">
        <v>571</v>
      </c>
      <c r="C2416" s="4">
        <v>201005308</v>
      </c>
      <c r="D2416" s="4" t="s">
        <v>2328</v>
      </c>
      <c r="E2416" s="4" t="str">
        <f>"108772010"</f>
        <v>108772010</v>
      </c>
      <c r="F2416" s="10">
        <v>40429</v>
      </c>
      <c r="G2416" s="11">
        <v>80000</v>
      </c>
      <c r="H2416" s="11">
        <v>80000</v>
      </c>
      <c r="I2416" s="4" t="s">
        <v>687</v>
      </c>
      <c r="J2416" s="4" t="s">
        <v>688</v>
      </c>
      <c r="K2416" s="11">
        <v>0</v>
      </c>
      <c r="L2416" s="4"/>
      <c r="M2416" s="4"/>
      <c r="N2416" s="11">
        <v>0</v>
      </c>
      <c r="O2416" s="4"/>
      <c r="P2416" s="4"/>
      <c r="Q2416" s="11">
        <v>0</v>
      </c>
      <c r="R2416" s="4"/>
      <c r="S2416" s="12"/>
    </row>
    <row r="2417" spans="1:19" x14ac:dyDescent="0.25">
      <c r="A2417" s="9" t="s">
        <v>571</v>
      </c>
      <c r="B2417" s="9" t="s">
        <v>571</v>
      </c>
      <c r="C2417" s="4">
        <v>201005345</v>
      </c>
      <c r="D2417" s="4" t="s">
        <v>2329</v>
      </c>
      <c r="E2417" s="4" t="str">
        <f>"107042010"</f>
        <v>107042010</v>
      </c>
      <c r="F2417" s="10">
        <v>40420</v>
      </c>
      <c r="G2417" s="11">
        <v>225000</v>
      </c>
      <c r="H2417" s="11">
        <v>225000</v>
      </c>
      <c r="I2417" s="4" t="s">
        <v>687</v>
      </c>
      <c r="J2417" s="4" t="s">
        <v>688</v>
      </c>
      <c r="K2417" s="11">
        <v>0</v>
      </c>
      <c r="L2417" s="4"/>
      <c r="M2417" s="4"/>
      <c r="N2417" s="11">
        <v>0</v>
      </c>
      <c r="O2417" s="4"/>
      <c r="P2417" s="4"/>
      <c r="Q2417" s="11">
        <v>0</v>
      </c>
      <c r="R2417" s="4"/>
      <c r="S2417" s="12"/>
    </row>
    <row r="2418" spans="1:19" x14ac:dyDescent="0.25">
      <c r="A2418" s="9" t="s">
        <v>571</v>
      </c>
      <c r="B2418" s="9" t="s">
        <v>571</v>
      </c>
      <c r="C2418" s="4">
        <v>201005346</v>
      </c>
      <c r="D2418" s="4" t="s">
        <v>2330</v>
      </c>
      <c r="E2418" s="4" t="str">
        <f>"107612010"</f>
        <v>107612010</v>
      </c>
      <c r="F2418" s="10">
        <v>40423</v>
      </c>
      <c r="G2418" s="11">
        <v>225000</v>
      </c>
      <c r="H2418" s="11">
        <v>225000</v>
      </c>
      <c r="I2418" s="4" t="s">
        <v>687</v>
      </c>
      <c r="J2418" s="4" t="s">
        <v>688</v>
      </c>
      <c r="K2418" s="11">
        <v>0</v>
      </c>
      <c r="L2418" s="4"/>
      <c r="M2418" s="4"/>
      <c r="N2418" s="11">
        <v>0</v>
      </c>
      <c r="O2418" s="4"/>
      <c r="P2418" s="4"/>
      <c r="Q2418" s="11">
        <v>0</v>
      </c>
      <c r="R2418" s="4"/>
      <c r="S2418" s="12"/>
    </row>
    <row r="2419" spans="1:19" x14ac:dyDescent="0.25">
      <c r="A2419" s="9" t="s">
        <v>571</v>
      </c>
      <c r="B2419" s="9" t="s">
        <v>571</v>
      </c>
      <c r="C2419" s="4">
        <v>201005347</v>
      </c>
      <c r="D2419" s="4" t="s">
        <v>2331</v>
      </c>
      <c r="E2419" s="4" t="str">
        <f>"107102010"</f>
        <v>107102010</v>
      </c>
      <c r="F2419" s="10">
        <v>40420</v>
      </c>
      <c r="G2419" s="11">
        <v>300000</v>
      </c>
      <c r="H2419" s="11">
        <v>300000</v>
      </c>
      <c r="I2419" s="4" t="s">
        <v>687</v>
      </c>
      <c r="J2419" s="4" t="s">
        <v>688</v>
      </c>
      <c r="K2419" s="11">
        <v>0</v>
      </c>
      <c r="L2419" s="4"/>
      <c r="M2419" s="4"/>
      <c r="N2419" s="11">
        <v>0</v>
      </c>
      <c r="O2419" s="4"/>
      <c r="P2419" s="4"/>
      <c r="Q2419" s="11">
        <v>0</v>
      </c>
      <c r="R2419" s="4"/>
      <c r="S2419" s="12"/>
    </row>
    <row r="2420" spans="1:19" x14ac:dyDescent="0.25">
      <c r="A2420" s="9" t="s">
        <v>571</v>
      </c>
      <c r="B2420" s="9" t="s">
        <v>571</v>
      </c>
      <c r="C2420" s="4">
        <v>201005352</v>
      </c>
      <c r="D2420" s="4"/>
      <c r="E2420" s="4" t="str">
        <f>"106962010"</f>
        <v>106962010</v>
      </c>
      <c r="F2420" s="10">
        <v>40420</v>
      </c>
      <c r="G2420" s="11">
        <v>62500</v>
      </c>
      <c r="H2420" s="11">
        <v>62500</v>
      </c>
      <c r="I2420" s="4" t="s">
        <v>687</v>
      </c>
      <c r="J2420" s="4" t="s">
        <v>688</v>
      </c>
      <c r="K2420" s="11">
        <v>0</v>
      </c>
      <c r="L2420" s="4"/>
      <c r="M2420" s="4"/>
      <c r="N2420" s="11">
        <v>0</v>
      </c>
      <c r="O2420" s="4"/>
      <c r="P2420" s="4"/>
      <c r="Q2420" s="11">
        <v>0</v>
      </c>
      <c r="R2420" s="4"/>
      <c r="S2420" s="12"/>
    </row>
    <row r="2421" spans="1:19" x14ac:dyDescent="0.25">
      <c r="A2421" s="9" t="s">
        <v>571</v>
      </c>
      <c r="B2421" s="9" t="s">
        <v>571</v>
      </c>
      <c r="C2421" s="4">
        <v>201005356</v>
      </c>
      <c r="D2421" s="4"/>
      <c r="E2421" s="4" t="str">
        <f>"106412010"</f>
        <v>106412010</v>
      </c>
      <c r="F2421" s="10">
        <v>40417</v>
      </c>
      <c r="G2421" s="11">
        <v>2590.88</v>
      </c>
      <c r="H2421" s="11">
        <v>2590.88</v>
      </c>
      <c r="I2421" s="4" t="s">
        <v>366</v>
      </c>
      <c r="J2421" s="4" t="s">
        <v>367</v>
      </c>
      <c r="K2421" s="11">
        <v>0</v>
      </c>
      <c r="L2421" s="4"/>
      <c r="M2421" s="4"/>
      <c r="N2421" s="11">
        <v>0</v>
      </c>
      <c r="O2421" s="4"/>
      <c r="P2421" s="4"/>
      <c r="Q2421" s="11">
        <v>0</v>
      </c>
      <c r="R2421" s="4"/>
      <c r="S2421" s="12"/>
    </row>
    <row r="2422" spans="1:19" x14ac:dyDescent="0.25">
      <c r="A2422" s="9" t="s">
        <v>571</v>
      </c>
      <c r="B2422" s="9" t="s">
        <v>571</v>
      </c>
      <c r="C2422" s="4">
        <v>201005384</v>
      </c>
      <c r="D2422" s="4" t="s">
        <v>2332</v>
      </c>
      <c r="E2422" s="4" t="str">
        <f>"106742010"</f>
        <v>106742010</v>
      </c>
      <c r="F2422" s="10">
        <v>40417</v>
      </c>
      <c r="G2422" s="11">
        <v>9000</v>
      </c>
      <c r="H2422" s="11">
        <v>9000</v>
      </c>
      <c r="I2422" s="4" t="s">
        <v>366</v>
      </c>
      <c r="J2422" s="4" t="s">
        <v>367</v>
      </c>
      <c r="K2422" s="11">
        <v>0</v>
      </c>
      <c r="L2422" s="4"/>
      <c r="M2422" s="4"/>
      <c r="N2422" s="11">
        <v>0</v>
      </c>
      <c r="O2422" s="4"/>
      <c r="P2422" s="4"/>
      <c r="Q2422" s="11">
        <v>0</v>
      </c>
      <c r="R2422" s="4"/>
      <c r="S2422" s="12"/>
    </row>
    <row r="2423" spans="1:19" x14ac:dyDescent="0.25">
      <c r="A2423" s="9" t="s">
        <v>571</v>
      </c>
      <c r="B2423" s="9" t="s">
        <v>571</v>
      </c>
      <c r="C2423" s="4">
        <v>201005409</v>
      </c>
      <c r="D2423" s="4" t="s">
        <v>2333</v>
      </c>
      <c r="E2423" s="4" t="str">
        <f>"107442010"</f>
        <v>107442010</v>
      </c>
      <c r="F2423" s="10">
        <v>40423</v>
      </c>
      <c r="G2423" s="11">
        <v>4060.88</v>
      </c>
      <c r="H2423" s="11">
        <v>4060.88</v>
      </c>
      <c r="I2423" s="4" t="s">
        <v>366</v>
      </c>
      <c r="J2423" s="4" t="s">
        <v>367</v>
      </c>
      <c r="K2423" s="11">
        <v>0</v>
      </c>
      <c r="L2423" s="4"/>
      <c r="M2423" s="4"/>
      <c r="N2423" s="11">
        <v>0</v>
      </c>
      <c r="O2423" s="4"/>
      <c r="P2423" s="4"/>
      <c r="Q2423" s="11">
        <v>0</v>
      </c>
      <c r="R2423" s="4"/>
      <c r="S2423" s="12"/>
    </row>
    <row r="2424" spans="1:19" x14ac:dyDescent="0.25">
      <c r="A2424" s="9" t="s">
        <v>571</v>
      </c>
      <c r="B2424" s="9" t="s">
        <v>571</v>
      </c>
      <c r="C2424" s="4">
        <v>201005448</v>
      </c>
      <c r="D2424" s="4" t="s">
        <v>2334</v>
      </c>
      <c r="E2424" s="4" t="str">
        <f>"107912010"</f>
        <v>107912010</v>
      </c>
      <c r="F2424" s="10">
        <v>40423</v>
      </c>
      <c r="G2424" s="11">
        <v>150000</v>
      </c>
      <c r="H2424" s="11">
        <v>150000</v>
      </c>
      <c r="I2424" s="4" t="s">
        <v>54</v>
      </c>
      <c r="J2424" s="4" t="s">
        <v>55</v>
      </c>
      <c r="K2424" s="11">
        <v>0</v>
      </c>
      <c r="L2424" s="4"/>
      <c r="M2424" s="4"/>
      <c r="N2424" s="11">
        <v>0</v>
      </c>
      <c r="O2424" s="4"/>
      <c r="P2424" s="4"/>
      <c r="Q2424" s="11">
        <v>0</v>
      </c>
      <c r="R2424" s="4"/>
      <c r="S2424" s="12"/>
    </row>
    <row r="2425" spans="1:19" x14ac:dyDescent="0.25">
      <c r="A2425" s="9" t="s">
        <v>571</v>
      </c>
      <c r="B2425" s="9" t="s">
        <v>571</v>
      </c>
      <c r="C2425" s="4">
        <v>201005460</v>
      </c>
      <c r="D2425" s="4"/>
      <c r="E2425" s="4" t="str">
        <f>"113422010"</f>
        <v>113422010</v>
      </c>
      <c r="F2425" s="10">
        <v>40445</v>
      </c>
      <c r="G2425" s="11">
        <v>15000</v>
      </c>
      <c r="H2425" s="11">
        <v>15000</v>
      </c>
      <c r="I2425" s="4" t="s">
        <v>687</v>
      </c>
      <c r="J2425" s="4" t="s">
        <v>688</v>
      </c>
      <c r="K2425" s="11">
        <v>0</v>
      </c>
      <c r="L2425" s="4"/>
      <c r="M2425" s="4"/>
      <c r="N2425" s="11">
        <v>0</v>
      </c>
      <c r="O2425" s="4"/>
      <c r="P2425" s="4"/>
      <c r="Q2425" s="11">
        <v>0</v>
      </c>
      <c r="R2425" s="4"/>
      <c r="S2425" s="12"/>
    </row>
    <row r="2426" spans="1:19" x14ac:dyDescent="0.25">
      <c r="A2426" s="9" t="s">
        <v>571</v>
      </c>
      <c r="B2426" s="9" t="s">
        <v>571</v>
      </c>
      <c r="C2426" s="4">
        <v>201005494</v>
      </c>
      <c r="D2426" s="4" t="s">
        <v>2335</v>
      </c>
      <c r="E2426" s="4" t="str">
        <f>"109132010"</f>
        <v>109132010</v>
      </c>
      <c r="F2426" s="10">
        <v>40429</v>
      </c>
      <c r="G2426" s="11">
        <v>400000</v>
      </c>
      <c r="H2426" s="11">
        <v>400000</v>
      </c>
      <c r="I2426" s="4" t="s">
        <v>687</v>
      </c>
      <c r="J2426" s="4" t="s">
        <v>688</v>
      </c>
      <c r="K2426" s="11">
        <v>0</v>
      </c>
      <c r="L2426" s="4"/>
      <c r="M2426" s="4"/>
      <c r="N2426" s="11">
        <v>0</v>
      </c>
      <c r="O2426" s="4"/>
      <c r="P2426" s="4"/>
      <c r="Q2426" s="11">
        <v>0</v>
      </c>
      <c r="R2426" s="4"/>
      <c r="S2426" s="12"/>
    </row>
    <row r="2427" spans="1:19" x14ac:dyDescent="0.25">
      <c r="A2427" s="9" t="s">
        <v>571</v>
      </c>
      <c r="B2427" s="9" t="s">
        <v>571</v>
      </c>
      <c r="C2427" s="4">
        <v>201005557</v>
      </c>
      <c r="D2427" s="4"/>
      <c r="E2427" s="4" t="str">
        <f>"109992010"</f>
        <v>109992010</v>
      </c>
      <c r="F2427" s="10">
        <v>40431</v>
      </c>
      <c r="G2427" s="11">
        <v>6462.78</v>
      </c>
      <c r="H2427" s="11">
        <v>6462.78</v>
      </c>
      <c r="I2427" s="4" t="s">
        <v>366</v>
      </c>
      <c r="J2427" s="4" t="s">
        <v>367</v>
      </c>
      <c r="K2427" s="11">
        <v>0</v>
      </c>
      <c r="L2427" s="4"/>
      <c r="M2427" s="4"/>
      <c r="N2427" s="11">
        <v>0</v>
      </c>
      <c r="O2427" s="4"/>
      <c r="P2427" s="4"/>
      <c r="Q2427" s="11">
        <v>0</v>
      </c>
      <c r="R2427" s="4"/>
      <c r="S2427" s="12"/>
    </row>
    <row r="2428" spans="1:19" x14ac:dyDescent="0.25">
      <c r="A2428" s="9" t="s">
        <v>571</v>
      </c>
      <c r="B2428" s="9" t="s">
        <v>571</v>
      </c>
      <c r="C2428" s="4">
        <v>201005586</v>
      </c>
      <c r="D2428" s="4" t="s">
        <v>2336</v>
      </c>
      <c r="E2428" s="4" t="str">
        <f>"112082010"</f>
        <v>112082010</v>
      </c>
      <c r="F2428" s="10">
        <v>40443</v>
      </c>
      <c r="G2428" s="11">
        <v>110000</v>
      </c>
      <c r="H2428" s="11">
        <v>110000</v>
      </c>
      <c r="I2428" s="4" t="s">
        <v>687</v>
      </c>
      <c r="J2428" s="4" t="s">
        <v>688</v>
      </c>
      <c r="K2428" s="11">
        <v>0</v>
      </c>
      <c r="L2428" s="4"/>
      <c r="M2428" s="4"/>
      <c r="N2428" s="11">
        <v>0</v>
      </c>
      <c r="O2428" s="4"/>
      <c r="P2428" s="4"/>
      <c r="Q2428" s="11">
        <v>0</v>
      </c>
      <c r="R2428" s="4"/>
      <c r="S2428" s="12"/>
    </row>
    <row r="2429" spans="1:19" x14ac:dyDescent="0.25">
      <c r="A2429" s="9" t="s">
        <v>571</v>
      </c>
      <c r="B2429" s="9" t="s">
        <v>571</v>
      </c>
      <c r="C2429" s="4">
        <v>201005587</v>
      </c>
      <c r="D2429" s="4"/>
      <c r="E2429" s="4" t="str">
        <f>"111372010"</f>
        <v>111372010</v>
      </c>
      <c r="F2429" s="10">
        <v>40437</v>
      </c>
      <c r="G2429" s="11">
        <v>4000</v>
      </c>
      <c r="H2429" s="11">
        <v>4000</v>
      </c>
      <c r="I2429" s="4" t="s">
        <v>687</v>
      </c>
      <c r="J2429" s="4" t="s">
        <v>688</v>
      </c>
      <c r="K2429" s="11">
        <v>0</v>
      </c>
      <c r="L2429" s="4"/>
      <c r="M2429" s="4"/>
      <c r="N2429" s="11">
        <v>0</v>
      </c>
      <c r="O2429" s="4"/>
      <c r="P2429" s="4"/>
      <c r="Q2429" s="11">
        <v>0</v>
      </c>
      <c r="R2429" s="4"/>
      <c r="S2429" s="12"/>
    </row>
    <row r="2430" spans="1:19" x14ac:dyDescent="0.25">
      <c r="A2430" s="9" t="s">
        <v>571</v>
      </c>
      <c r="B2430" s="9" t="s">
        <v>571</v>
      </c>
      <c r="C2430" s="4">
        <v>201005589</v>
      </c>
      <c r="D2430" s="4" t="s">
        <v>2337</v>
      </c>
      <c r="E2430" s="4" t="str">
        <f>"112062010"</f>
        <v>112062010</v>
      </c>
      <c r="F2430" s="10">
        <v>40443</v>
      </c>
      <c r="G2430" s="11">
        <v>3592.24</v>
      </c>
      <c r="H2430" s="11">
        <v>3592.24</v>
      </c>
      <c r="I2430" s="4" t="s">
        <v>366</v>
      </c>
      <c r="J2430" s="4" t="s">
        <v>367</v>
      </c>
      <c r="K2430" s="11">
        <v>0</v>
      </c>
      <c r="L2430" s="4"/>
      <c r="M2430" s="4"/>
      <c r="N2430" s="11">
        <v>0</v>
      </c>
      <c r="O2430" s="4"/>
      <c r="P2430" s="4"/>
      <c r="Q2430" s="11">
        <v>0</v>
      </c>
      <c r="R2430" s="4"/>
      <c r="S2430" s="12"/>
    </row>
    <row r="2431" spans="1:19" x14ac:dyDescent="0.25">
      <c r="A2431" s="9" t="s">
        <v>571</v>
      </c>
      <c r="B2431" s="9" t="s">
        <v>571</v>
      </c>
      <c r="C2431" s="4">
        <v>201005593</v>
      </c>
      <c r="D2431" s="4"/>
      <c r="E2431" s="4" t="str">
        <f>"111232010"</f>
        <v>111232010</v>
      </c>
      <c r="F2431" s="10">
        <v>40436</v>
      </c>
      <c r="G2431" s="11">
        <v>3632.18</v>
      </c>
      <c r="H2431" s="11">
        <v>3632.18</v>
      </c>
      <c r="I2431" s="4" t="s">
        <v>366</v>
      </c>
      <c r="J2431" s="4" t="s">
        <v>367</v>
      </c>
      <c r="K2431" s="11">
        <v>0</v>
      </c>
      <c r="L2431" s="4"/>
      <c r="M2431" s="4"/>
      <c r="N2431" s="11">
        <v>0</v>
      </c>
      <c r="O2431" s="4"/>
      <c r="P2431" s="4"/>
      <c r="Q2431" s="11">
        <v>0</v>
      </c>
      <c r="R2431" s="4"/>
      <c r="S2431" s="12"/>
    </row>
    <row r="2432" spans="1:19" x14ac:dyDescent="0.25">
      <c r="A2432" s="9" t="s">
        <v>571</v>
      </c>
      <c r="B2432" s="9" t="s">
        <v>571</v>
      </c>
      <c r="C2432" s="4">
        <v>201005594</v>
      </c>
      <c r="D2432" s="4"/>
      <c r="E2432" s="4" t="str">
        <f>"111962010"</f>
        <v>111962010</v>
      </c>
      <c r="F2432" s="10">
        <v>40443</v>
      </c>
      <c r="G2432" s="11">
        <v>50000</v>
      </c>
      <c r="H2432" s="11">
        <v>50000</v>
      </c>
      <c r="I2432" s="4" t="s">
        <v>687</v>
      </c>
      <c r="J2432" s="4" t="s">
        <v>688</v>
      </c>
      <c r="K2432" s="11">
        <v>0</v>
      </c>
      <c r="L2432" s="4"/>
      <c r="M2432" s="4"/>
      <c r="N2432" s="11">
        <v>0</v>
      </c>
      <c r="O2432" s="4"/>
      <c r="P2432" s="4"/>
      <c r="Q2432" s="11">
        <v>0</v>
      </c>
      <c r="R2432" s="4"/>
      <c r="S2432" s="12"/>
    </row>
    <row r="2433" spans="1:19" x14ac:dyDescent="0.25">
      <c r="A2433" s="9" t="s">
        <v>571</v>
      </c>
      <c r="B2433" s="9" t="s">
        <v>571</v>
      </c>
      <c r="C2433" s="4">
        <v>201005598</v>
      </c>
      <c r="D2433" s="4" t="s">
        <v>2338</v>
      </c>
      <c r="E2433" s="4" t="str">
        <f>"112622010"</f>
        <v>112622010</v>
      </c>
      <c r="F2433" s="10">
        <v>40443</v>
      </c>
      <c r="G2433" s="11">
        <v>50000</v>
      </c>
      <c r="H2433" s="11">
        <v>50000</v>
      </c>
      <c r="I2433" s="4" t="s">
        <v>687</v>
      </c>
      <c r="J2433" s="4" t="s">
        <v>688</v>
      </c>
      <c r="K2433" s="11">
        <v>0</v>
      </c>
      <c r="L2433" s="4"/>
      <c r="M2433" s="4"/>
      <c r="N2433" s="11">
        <v>0</v>
      </c>
      <c r="O2433" s="4"/>
      <c r="P2433" s="4"/>
      <c r="Q2433" s="11">
        <v>0</v>
      </c>
      <c r="R2433" s="4"/>
      <c r="S2433" s="12"/>
    </row>
    <row r="2434" spans="1:19" x14ac:dyDescent="0.25">
      <c r="A2434" s="9" t="s">
        <v>571</v>
      </c>
      <c r="B2434" s="9" t="s">
        <v>571</v>
      </c>
      <c r="C2434" s="4">
        <v>201005602</v>
      </c>
      <c r="D2434" s="4"/>
      <c r="E2434" s="4" t="str">
        <f>"112582010"</f>
        <v>112582010</v>
      </c>
      <c r="F2434" s="10">
        <v>40443</v>
      </c>
      <c r="G2434" s="11">
        <v>10000</v>
      </c>
      <c r="H2434" s="11">
        <v>10000</v>
      </c>
      <c r="I2434" s="4" t="s">
        <v>687</v>
      </c>
      <c r="J2434" s="4" t="s">
        <v>688</v>
      </c>
      <c r="K2434" s="11">
        <v>0</v>
      </c>
      <c r="L2434" s="4"/>
      <c r="M2434" s="4"/>
      <c r="N2434" s="11">
        <v>0</v>
      </c>
      <c r="O2434" s="4"/>
      <c r="P2434" s="4"/>
      <c r="Q2434" s="11">
        <v>0</v>
      </c>
      <c r="R2434" s="4"/>
      <c r="S2434" s="12"/>
    </row>
    <row r="2435" spans="1:19" x14ac:dyDescent="0.25">
      <c r="A2435" s="9" t="s">
        <v>571</v>
      </c>
      <c r="B2435" s="9" t="s">
        <v>571</v>
      </c>
      <c r="C2435" s="4">
        <v>201005654</v>
      </c>
      <c r="D2435" s="4"/>
      <c r="E2435" s="4" t="str">
        <f>"112762010"</f>
        <v>112762010</v>
      </c>
      <c r="F2435" s="10">
        <v>40443</v>
      </c>
      <c r="G2435" s="11">
        <v>2873.88</v>
      </c>
      <c r="H2435" s="11">
        <v>2873.88</v>
      </c>
      <c r="I2435" s="4" t="s">
        <v>366</v>
      </c>
      <c r="J2435" s="4" t="s">
        <v>367</v>
      </c>
      <c r="K2435" s="11">
        <v>0</v>
      </c>
      <c r="L2435" s="4"/>
      <c r="M2435" s="4"/>
      <c r="N2435" s="11">
        <v>0</v>
      </c>
      <c r="O2435" s="4"/>
      <c r="P2435" s="4"/>
      <c r="Q2435" s="11">
        <v>0</v>
      </c>
      <c r="R2435" s="4"/>
      <c r="S2435" s="12"/>
    </row>
    <row r="2436" spans="1:19" x14ac:dyDescent="0.25">
      <c r="A2436" s="9" t="s">
        <v>571</v>
      </c>
      <c r="B2436" s="9" t="s">
        <v>571</v>
      </c>
      <c r="C2436" s="4">
        <v>201005696</v>
      </c>
      <c r="D2436" s="4"/>
      <c r="E2436" s="4" t="str">
        <f>"114392010"</f>
        <v>114392010</v>
      </c>
      <c r="F2436" s="10">
        <v>40450</v>
      </c>
      <c r="G2436" s="11">
        <v>3024.74</v>
      </c>
      <c r="H2436" s="11">
        <v>3024.74</v>
      </c>
      <c r="I2436" s="4" t="s">
        <v>366</v>
      </c>
      <c r="J2436" s="4" t="s">
        <v>367</v>
      </c>
      <c r="K2436" s="11">
        <v>0</v>
      </c>
      <c r="L2436" s="4"/>
      <c r="M2436" s="4"/>
      <c r="N2436" s="11">
        <v>0</v>
      </c>
      <c r="O2436" s="4"/>
      <c r="P2436" s="4"/>
      <c r="Q2436" s="11">
        <v>0</v>
      </c>
      <c r="R2436" s="4"/>
      <c r="S2436" s="12"/>
    </row>
    <row r="2437" spans="1:19" x14ac:dyDescent="0.25">
      <c r="A2437" s="9" t="s">
        <v>571</v>
      </c>
      <c r="B2437" s="9" t="s">
        <v>571</v>
      </c>
      <c r="C2437" s="4">
        <v>201005707</v>
      </c>
      <c r="D2437" s="4"/>
      <c r="E2437" s="4" t="str">
        <f>"115562010"</f>
        <v>115562010</v>
      </c>
      <c r="F2437" s="10">
        <v>40450</v>
      </c>
      <c r="G2437" s="11">
        <v>15000</v>
      </c>
      <c r="H2437" s="11">
        <v>15000</v>
      </c>
      <c r="I2437" s="4" t="s">
        <v>687</v>
      </c>
      <c r="J2437" s="4" t="s">
        <v>688</v>
      </c>
      <c r="K2437" s="11">
        <v>0</v>
      </c>
      <c r="L2437" s="4"/>
      <c r="M2437" s="4"/>
      <c r="N2437" s="11">
        <v>0</v>
      </c>
      <c r="O2437" s="4"/>
      <c r="P2437" s="4"/>
      <c r="Q2437" s="11">
        <v>0</v>
      </c>
      <c r="R2437" s="4"/>
      <c r="S2437" s="12"/>
    </row>
    <row r="2438" spans="1:19" x14ac:dyDescent="0.25">
      <c r="A2438" s="9" t="s">
        <v>571</v>
      </c>
      <c r="B2438" s="9" t="s">
        <v>571</v>
      </c>
      <c r="C2438" s="4">
        <v>201005728</v>
      </c>
      <c r="D2438" s="4"/>
      <c r="E2438" s="4" t="str">
        <f>"114752010"</f>
        <v>114752010</v>
      </c>
      <c r="F2438" s="10">
        <v>40449</v>
      </c>
      <c r="G2438" s="11">
        <v>60000</v>
      </c>
      <c r="H2438" s="11">
        <v>60000</v>
      </c>
      <c r="I2438" s="4" t="s">
        <v>687</v>
      </c>
      <c r="J2438" s="4" t="s">
        <v>688</v>
      </c>
      <c r="K2438" s="11">
        <v>0</v>
      </c>
      <c r="L2438" s="4"/>
      <c r="M2438" s="4"/>
      <c r="N2438" s="11">
        <v>0</v>
      </c>
      <c r="O2438" s="4"/>
      <c r="P2438" s="4"/>
      <c r="Q2438" s="11">
        <v>0</v>
      </c>
      <c r="R2438" s="4"/>
      <c r="S2438" s="12"/>
    </row>
    <row r="2439" spans="1:19" x14ac:dyDescent="0.25">
      <c r="A2439" s="9" t="s">
        <v>571</v>
      </c>
      <c r="B2439" s="9" t="s">
        <v>571</v>
      </c>
      <c r="C2439" s="4">
        <v>201005731</v>
      </c>
      <c r="D2439" s="4" t="s">
        <v>2230</v>
      </c>
      <c r="E2439" s="4" t="str">
        <f>"114832010"</f>
        <v>114832010</v>
      </c>
      <c r="F2439" s="10">
        <v>40449</v>
      </c>
      <c r="G2439" s="11">
        <v>100000</v>
      </c>
      <c r="H2439" s="11">
        <v>100000</v>
      </c>
      <c r="I2439" s="4" t="s">
        <v>687</v>
      </c>
      <c r="J2439" s="4" t="s">
        <v>688</v>
      </c>
      <c r="K2439" s="11">
        <v>0</v>
      </c>
      <c r="L2439" s="4"/>
      <c r="M2439" s="4"/>
      <c r="N2439" s="11">
        <v>0</v>
      </c>
      <c r="O2439" s="4"/>
      <c r="P2439" s="4"/>
      <c r="Q2439" s="11">
        <v>0</v>
      </c>
      <c r="R2439" s="4"/>
      <c r="S2439" s="12"/>
    </row>
    <row r="2440" spans="1:19" x14ac:dyDescent="0.25">
      <c r="A2440" s="9" t="s">
        <v>571</v>
      </c>
      <c r="B2440" s="9" t="s">
        <v>571</v>
      </c>
      <c r="C2440" s="4">
        <v>201005731</v>
      </c>
      <c r="D2440" s="4" t="s">
        <v>2230</v>
      </c>
      <c r="E2440" s="4" t="str">
        <f>"114852010"</f>
        <v>114852010</v>
      </c>
      <c r="F2440" s="10">
        <v>40448</v>
      </c>
      <c r="G2440" s="11">
        <v>18484</v>
      </c>
      <c r="H2440" s="11">
        <v>18484</v>
      </c>
      <c r="I2440" s="4" t="s">
        <v>687</v>
      </c>
      <c r="J2440" s="4" t="s">
        <v>688</v>
      </c>
      <c r="K2440" s="11">
        <v>0</v>
      </c>
      <c r="L2440" s="4"/>
      <c r="M2440" s="4"/>
      <c r="N2440" s="11">
        <v>0</v>
      </c>
      <c r="O2440" s="4"/>
      <c r="P2440" s="4"/>
      <c r="Q2440" s="11">
        <v>0</v>
      </c>
      <c r="R2440" s="4"/>
      <c r="S2440" s="12"/>
    </row>
    <row r="2441" spans="1:19" x14ac:dyDescent="0.25">
      <c r="A2441" s="9" t="s">
        <v>571</v>
      </c>
      <c r="B2441" s="9" t="s">
        <v>571</v>
      </c>
      <c r="C2441" s="4">
        <v>201005751</v>
      </c>
      <c r="D2441" s="4"/>
      <c r="E2441" s="4" t="str">
        <f>"115292010"</f>
        <v>115292010</v>
      </c>
      <c r="F2441" s="10">
        <v>40450</v>
      </c>
      <c r="G2441" s="11">
        <v>200000</v>
      </c>
      <c r="H2441" s="11">
        <v>200000</v>
      </c>
      <c r="I2441" s="4" t="s">
        <v>687</v>
      </c>
      <c r="J2441" s="4" t="s">
        <v>688</v>
      </c>
      <c r="K2441" s="11">
        <v>0</v>
      </c>
      <c r="L2441" s="4"/>
      <c r="M2441" s="4"/>
      <c r="N2441" s="11">
        <v>0</v>
      </c>
      <c r="O2441" s="4"/>
      <c r="P2441" s="4"/>
      <c r="Q2441" s="11">
        <v>0</v>
      </c>
      <c r="R2441" s="4"/>
      <c r="S2441" s="12"/>
    </row>
    <row r="2442" spans="1:19" x14ac:dyDescent="0.25">
      <c r="A2442" s="9" t="s">
        <v>571</v>
      </c>
      <c r="B2442" s="9" t="s">
        <v>571</v>
      </c>
      <c r="C2442" s="4">
        <v>201005774</v>
      </c>
      <c r="D2442" s="4"/>
      <c r="E2442" s="4" t="str">
        <f>"115542010"</f>
        <v>115542010</v>
      </c>
      <c r="F2442" s="10">
        <v>40450</v>
      </c>
      <c r="G2442" s="11">
        <v>200000</v>
      </c>
      <c r="H2442" s="11">
        <v>200000</v>
      </c>
      <c r="I2442" s="4" t="s">
        <v>687</v>
      </c>
      <c r="J2442" s="4" t="s">
        <v>688</v>
      </c>
      <c r="K2442" s="11">
        <v>0</v>
      </c>
      <c r="L2442" s="4"/>
      <c r="M2442" s="4"/>
      <c r="N2442" s="11">
        <v>0</v>
      </c>
      <c r="O2442" s="4"/>
      <c r="P2442" s="4"/>
      <c r="Q2442" s="11">
        <v>0</v>
      </c>
      <c r="R2442" s="4"/>
      <c r="S2442" s="12"/>
    </row>
    <row r="2443" spans="1:19" x14ac:dyDescent="0.25">
      <c r="A2443" s="9" t="s">
        <v>743</v>
      </c>
      <c r="B2443" s="9" t="s">
        <v>766</v>
      </c>
      <c r="C2443" s="4">
        <v>200905903</v>
      </c>
      <c r="D2443" s="4"/>
      <c r="E2443" s="4" t="str">
        <f>"086442009"</f>
        <v>086442009</v>
      </c>
      <c r="F2443" s="10">
        <v>40092</v>
      </c>
      <c r="G2443" s="11">
        <v>7320.46</v>
      </c>
      <c r="H2443" s="11">
        <v>7320.46</v>
      </c>
      <c r="I2443" s="4" t="s">
        <v>54</v>
      </c>
      <c r="J2443" s="4" t="s">
        <v>55</v>
      </c>
      <c r="K2443" s="11">
        <v>0</v>
      </c>
      <c r="L2443" s="4"/>
      <c r="M2443" s="4"/>
      <c r="N2443" s="11">
        <v>0</v>
      </c>
      <c r="O2443" s="4"/>
      <c r="P2443" s="4"/>
      <c r="Q2443" s="11">
        <v>0</v>
      </c>
      <c r="R2443" s="4"/>
      <c r="S2443" s="12"/>
    </row>
    <row r="2444" spans="1:19" x14ac:dyDescent="0.25">
      <c r="A2444" s="9" t="s">
        <v>743</v>
      </c>
      <c r="B2444" s="9" t="s">
        <v>766</v>
      </c>
      <c r="C2444" s="4">
        <v>201000132</v>
      </c>
      <c r="D2444" s="4" t="s">
        <v>2339</v>
      </c>
      <c r="E2444" s="4" t="str">
        <f>"002182010"</f>
        <v>002182010</v>
      </c>
      <c r="F2444" s="10">
        <v>40095</v>
      </c>
      <c r="G2444" s="11">
        <v>4580.5</v>
      </c>
      <c r="H2444" s="11">
        <v>4580.5</v>
      </c>
      <c r="I2444" s="4" t="s">
        <v>366</v>
      </c>
      <c r="J2444" s="4" t="s">
        <v>367</v>
      </c>
      <c r="K2444" s="11">
        <v>0</v>
      </c>
      <c r="L2444" s="4"/>
      <c r="M2444" s="4"/>
      <c r="N2444" s="11">
        <v>0</v>
      </c>
      <c r="O2444" s="4"/>
      <c r="P2444" s="4"/>
      <c r="Q2444" s="11">
        <v>0</v>
      </c>
      <c r="R2444" s="4"/>
      <c r="S2444" s="12"/>
    </row>
    <row r="2445" spans="1:19" x14ac:dyDescent="0.25">
      <c r="A2445" s="9" t="s">
        <v>743</v>
      </c>
      <c r="B2445" s="9" t="s">
        <v>766</v>
      </c>
      <c r="C2445" s="4">
        <v>201000333</v>
      </c>
      <c r="D2445" s="4"/>
      <c r="E2445" s="4" t="str">
        <f>"006392010"</f>
        <v>006392010</v>
      </c>
      <c r="F2445" s="10">
        <v>40114</v>
      </c>
      <c r="G2445" s="11">
        <v>6566</v>
      </c>
      <c r="H2445" s="11">
        <v>6566</v>
      </c>
      <c r="I2445" s="4" t="s">
        <v>54</v>
      </c>
      <c r="J2445" s="4" t="s">
        <v>55</v>
      </c>
      <c r="K2445" s="11">
        <v>0</v>
      </c>
      <c r="L2445" s="4"/>
      <c r="M2445" s="4"/>
      <c r="N2445" s="11">
        <v>0</v>
      </c>
      <c r="O2445" s="4"/>
      <c r="P2445" s="4"/>
      <c r="Q2445" s="11">
        <v>0</v>
      </c>
      <c r="R2445" s="4"/>
      <c r="S2445" s="12"/>
    </row>
    <row r="2446" spans="1:19" x14ac:dyDescent="0.25">
      <c r="A2446" s="9" t="s">
        <v>743</v>
      </c>
      <c r="B2446" s="9" t="s">
        <v>766</v>
      </c>
      <c r="C2446" s="4">
        <v>201001677</v>
      </c>
      <c r="D2446" s="4" t="s">
        <v>2340</v>
      </c>
      <c r="E2446" s="4" t="str">
        <f>"032622010"</f>
        <v>032622010</v>
      </c>
      <c r="F2446" s="10">
        <v>40200</v>
      </c>
      <c r="G2446" s="11">
        <v>3306.19</v>
      </c>
      <c r="H2446" s="11">
        <v>3306.19</v>
      </c>
      <c r="I2446" s="4" t="s">
        <v>54</v>
      </c>
      <c r="J2446" s="4" t="s">
        <v>55</v>
      </c>
      <c r="K2446" s="11">
        <v>0</v>
      </c>
      <c r="L2446" s="4"/>
      <c r="M2446" s="4"/>
      <c r="N2446" s="11">
        <v>0</v>
      </c>
      <c r="O2446" s="4"/>
      <c r="P2446" s="4"/>
      <c r="Q2446" s="11">
        <v>0</v>
      </c>
      <c r="R2446" s="4"/>
      <c r="S2446" s="12"/>
    </row>
    <row r="2447" spans="1:19" x14ac:dyDescent="0.25">
      <c r="A2447" s="9" t="s">
        <v>743</v>
      </c>
      <c r="B2447" s="9" t="s">
        <v>945</v>
      </c>
      <c r="C2447" s="4">
        <v>201002674</v>
      </c>
      <c r="D2447" s="4"/>
      <c r="E2447" s="4" t="str">
        <f>"057422010"</f>
        <v>057422010</v>
      </c>
      <c r="F2447" s="10">
        <v>40296</v>
      </c>
      <c r="G2447" s="11">
        <v>3000</v>
      </c>
      <c r="H2447" s="11">
        <v>3000</v>
      </c>
      <c r="I2447" s="4" t="s">
        <v>54</v>
      </c>
      <c r="J2447" s="4" t="s">
        <v>55</v>
      </c>
      <c r="K2447" s="11">
        <v>0</v>
      </c>
      <c r="L2447" s="4"/>
      <c r="M2447" s="4"/>
      <c r="N2447" s="11">
        <v>0</v>
      </c>
      <c r="O2447" s="4"/>
      <c r="P2447" s="4"/>
      <c r="Q2447" s="11">
        <v>0</v>
      </c>
      <c r="R2447" s="4"/>
      <c r="S2447" s="12"/>
    </row>
    <row r="2448" spans="1:19" x14ac:dyDescent="0.25">
      <c r="A2448" s="9" t="s">
        <v>743</v>
      </c>
      <c r="B2448" s="9" t="s">
        <v>945</v>
      </c>
      <c r="C2448" s="4">
        <v>201002912</v>
      </c>
      <c r="D2448" s="4"/>
      <c r="E2448" s="4" t="str">
        <f>"058512010"</f>
        <v>058512010</v>
      </c>
      <c r="F2448" s="10">
        <v>40284</v>
      </c>
      <c r="G2448" s="11">
        <v>6600</v>
      </c>
      <c r="H2448" s="11">
        <v>6600</v>
      </c>
      <c r="I2448" s="4" t="s">
        <v>54</v>
      </c>
      <c r="J2448" s="4" t="s">
        <v>55</v>
      </c>
      <c r="K2448" s="11">
        <v>0</v>
      </c>
      <c r="L2448" s="4"/>
      <c r="M2448" s="4"/>
      <c r="N2448" s="11">
        <v>0</v>
      </c>
      <c r="O2448" s="4"/>
      <c r="P2448" s="4"/>
      <c r="Q2448" s="11">
        <v>0</v>
      </c>
      <c r="R2448" s="4"/>
      <c r="S2448" s="12"/>
    </row>
    <row r="2449" spans="1:19" x14ac:dyDescent="0.25">
      <c r="A2449" s="9" t="s">
        <v>743</v>
      </c>
      <c r="B2449" s="9" t="s">
        <v>766</v>
      </c>
      <c r="C2449" s="4">
        <v>201003911</v>
      </c>
      <c r="D2449" s="4"/>
      <c r="E2449" s="4" t="str">
        <f>"076882010"</f>
        <v>076882010</v>
      </c>
      <c r="F2449" s="10">
        <v>40337</v>
      </c>
      <c r="G2449" s="11">
        <v>3500</v>
      </c>
      <c r="H2449" s="11">
        <v>3500</v>
      </c>
      <c r="I2449" s="4" t="s">
        <v>54</v>
      </c>
      <c r="J2449" s="4" t="s">
        <v>55</v>
      </c>
      <c r="K2449" s="11">
        <v>0</v>
      </c>
      <c r="L2449" s="4"/>
      <c r="M2449" s="4"/>
      <c r="N2449" s="11">
        <v>0</v>
      </c>
      <c r="O2449" s="4"/>
      <c r="P2449" s="4"/>
      <c r="Q2449" s="11">
        <v>0</v>
      </c>
      <c r="R2449" s="4"/>
      <c r="S2449" s="12"/>
    </row>
    <row r="2450" spans="1:19" x14ac:dyDescent="0.25">
      <c r="A2450" s="9" t="s">
        <v>743</v>
      </c>
      <c r="B2450" s="9" t="s">
        <v>766</v>
      </c>
      <c r="C2450" s="4">
        <v>201003919</v>
      </c>
      <c r="D2450" s="4" t="s">
        <v>2341</v>
      </c>
      <c r="E2450" s="4" t="str">
        <f>"078212010"</f>
        <v>078212010</v>
      </c>
      <c r="F2450" s="10">
        <v>40340</v>
      </c>
      <c r="G2450" s="11">
        <v>10415.74</v>
      </c>
      <c r="H2450" s="11">
        <v>10415.74</v>
      </c>
      <c r="I2450" s="4" t="s">
        <v>366</v>
      </c>
      <c r="J2450" s="4" t="s">
        <v>367</v>
      </c>
      <c r="K2450" s="11">
        <v>0</v>
      </c>
      <c r="L2450" s="4"/>
      <c r="M2450" s="4"/>
      <c r="N2450" s="11">
        <v>0</v>
      </c>
      <c r="O2450" s="4"/>
      <c r="P2450" s="4"/>
      <c r="Q2450" s="11">
        <v>0</v>
      </c>
      <c r="R2450" s="4"/>
      <c r="S2450" s="12"/>
    </row>
    <row r="2451" spans="1:19" x14ac:dyDescent="0.25">
      <c r="A2451" s="9" t="s">
        <v>743</v>
      </c>
      <c r="B2451" s="9" t="s">
        <v>945</v>
      </c>
      <c r="C2451" s="4">
        <v>201004237</v>
      </c>
      <c r="D2451" s="4"/>
      <c r="E2451" s="4" t="str">
        <f>"084582010"</f>
        <v>084582010</v>
      </c>
      <c r="F2451" s="10">
        <v>40357</v>
      </c>
      <c r="G2451" s="11">
        <v>11672.23</v>
      </c>
      <c r="H2451" s="11">
        <v>11672.23</v>
      </c>
      <c r="I2451" s="4" t="s">
        <v>366</v>
      </c>
      <c r="J2451" s="4" t="s">
        <v>367</v>
      </c>
      <c r="K2451" s="11">
        <v>0</v>
      </c>
      <c r="L2451" s="4"/>
      <c r="M2451" s="4"/>
      <c r="N2451" s="11">
        <v>0</v>
      </c>
      <c r="O2451" s="4"/>
      <c r="P2451" s="4"/>
      <c r="Q2451" s="11">
        <v>0</v>
      </c>
      <c r="R2451" s="4"/>
      <c r="S2451" s="12"/>
    </row>
    <row r="2452" spans="1:19" x14ac:dyDescent="0.25">
      <c r="A2452" s="9" t="s">
        <v>743</v>
      </c>
      <c r="B2452" s="9" t="s">
        <v>766</v>
      </c>
      <c r="C2452" s="4">
        <v>201004403</v>
      </c>
      <c r="D2452" s="4"/>
      <c r="E2452" s="4" t="str">
        <f>"088262010"</f>
        <v>088262010</v>
      </c>
      <c r="F2452" s="10">
        <v>40367</v>
      </c>
      <c r="G2452" s="11">
        <v>5165.79</v>
      </c>
      <c r="H2452" s="11">
        <v>5165.79</v>
      </c>
      <c r="I2452" s="4" t="s">
        <v>54</v>
      </c>
      <c r="J2452" s="4" t="s">
        <v>55</v>
      </c>
      <c r="K2452" s="11">
        <v>0</v>
      </c>
      <c r="L2452" s="4"/>
      <c r="M2452" s="4"/>
      <c r="N2452" s="11">
        <v>0</v>
      </c>
      <c r="O2452" s="4"/>
      <c r="P2452" s="4"/>
      <c r="Q2452" s="11">
        <v>0</v>
      </c>
      <c r="R2452" s="4"/>
      <c r="S2452" s="12"/>
    </row>
    <row r="2453" spans="1:19" x14ac:dyDescent="0.25">
      <c r="A2453" s="9" t="s">
        <v>743</v>
      </c>
      <c r="B2453" s="9" t="s">
        <v>766</v>
      </c>
      <c r="C2453" s="4">
        <v>201004406</v>
      </c>
      <c r="D2453" s="4" t="s">
        <v>2342</v>
      </c>
      <c r="E2453" s="4" t="str">
        <f>"088122010"</f>
        <v>088122010</v>
      </c>
      <c r="F2453" s="10">
        <v>40367</v>
      </c>
      <c r="G2453" s="11">
        <v>5000</v>
      </c>
      <c r="H2453" s="11">
        <v>5000</v>
      </c>
      <c r="I2453" s="4" t="s">
        <v>54</v>
      </c>
      <c r="J2453" s="4" t="s">
        <v>55</v>
      </c>
      <c r="K2453" s="11">
        <v>0</v>
      </c>
      <c r="L2453" s="4"/>
      <c r="M2453" s="4"/>
      <c r="N2453" s="11">
        <v>0</v>
      </c>
      <c r="O2453" s="4"/>
      <c r="P2453" s="4"/>
      <c r="Q2453" s="11">
        <v>0</v>
      </c>
      <c r="R2453" s="4"/>
      <c r="S2453" s="12"/>
    </row>
    <row r="2454" spans="1:19" x14ac:dyDescent="0.25">
      <c r="A2454" s="9" t="s">
        <v>743</v>
      </c>
      <c r="B2454" s="9" t="s">
        <v>766</v>
      </c>
      <c r="C2454" s="4">
        <v>201004589</v>
      </c>
      <c r="D2454" s="4"/>
      <c r="E2454" s="4" t="str">
        <f>"091402010"</f>
        <v>091402010</v>
      </c>
      <c r="F2454" s="10">
        <v>40368</v>
      </c>
      <c r="G2454" s="11">
        <v>2772</v>
      </c>
      <c r="H2454" s="11">
        <v>2772</v>
      </c>
      <c r="I2454" s="4" t="s">
        <v>54</v>
      </c>
      <c r="J2454" s="4" t="s">
        <v>55</v>
      </c>
      <c r="K2454" s="11">
        <v>0</v>
      </c>
      <c r="L2454" s="4"/>
      <c r="M2454" s="4"/>
      <c r="N2454" s="11">
        <v>0</v>
      </c>
      <c r="O2454" s="4"/>
      <c r="P2454" s="4"/>
      <c r="Q2454" s="11">
        <v>0</v>
      </c>
      <c r="R2454" s="4"/>
      <c r="S2454" s="12"/>
    </row>
    <row r="2455" spans="1:19" x14ac:dyDescent="0.25">
      <c r="A2455" s="9" t="s">
        <v>743</v>
      </c>
      <c r="B2455" s="9" t="s">
        <v>766</v>
      </c>
      <c r="C2455" s="4">
        <v>201004591</v>
      </c>
      <c r="D2455" s="4"/>
      <c r="E2455" s="4" t="str">
        <f>"091422010"</f>
        <v>091422010</v>
      </c>
      <c r="F2455" s="10">
        <v>40368</v>
      </c>
      <c r="G2455" s="11">
        <v>3000</v>
      </c>
      <c r="H2455" s="11">
        <v>3000</v>
      </c>
      <c r="I2455" s="4" t="s">
        <v>54</v>
      </c>
      <c r="J2455" s="4" t="s">
        <v>55</v>
      </c>
      <c r="K2455" s="11">
        <v>0</v>
      </c>
      <c r="L2455" s="4"/>
      <c r="M2455" s="4"/>
      <c r="N2455" s="11">
        <v>0</v>
      </c>
      <c r="O2455" s="4"/>
      <c r="P2455" s="4"/>
      <c r="Q2455" s="11">
        <v>0</v>
      </c>
      <c r="R2455" s="4"/>
      <c r="S2455" s="12"/>
    </row>
    <row r="2456" spans="1:19" x14ac:dyDescent="0.25">
      <c r="A2456" s="9" t="s">
        <v>743</v>
      </c>
      <c r="B2456" s="9" t="s">
        <v>766</v>
      </c>
      <c r="C2456" s="4">
        <v>201004605</v>
      </c>
      <c r="D2456" s="4"/>
      <c r="E2456" s="4" t="str">
        <f>"091582010"</f>
        <v>091582010</v>
      </c>
      <c r="F2456" s="10">
        <v>40368</v>
      </c>
      <c r="G2456" s="11">
        <v>3342</v>
      </c>
      <c r="H2456" s="11">
        <v>3342</v>
      </c>
      <c r="I2456" s="4" t="s">
        <v>54</v>
      </c>
      <c r="J2456" s="4" t="s">
        <v>55</v>
      </c>
      <c r="K2456" s="11">
        <v>0</v>
      </c>
      <c r="L2456" s="4"/>
      <c r="M2456" s="4"/>
      <c r="N2456" s="11">
        <v>0</v>
      </c>
      <c r="O2456" s="4"/>
      <c r="P2456" s="4"/>
      <c r="Q2456" s="11">
        <v>0</v>
      </c>
      <c r="R2456" s="4"/>
      <c r="S2456" s="12"/>
    </row>
    <row r="2457" spans="1:19" x14ac:dyDescent="0.25">
      <c r="A2457" s="9" t="s">
        <v>743</v>
      </c>
      <c r="B2457" s="9" t="s">
        <v>766</v>
      </c>
      <c r="C2457" s="4">
        <v>201004617</v>
      </c>
      <c r="D2457" s="4"/>
      <c r="E2457" s="4" t="str">
        <f>"091602010"</f>
        <v>091602010</v>
      </c>
      <c r="F2457" s="10">
        <v>40368</v>
      </c>
      <c r="G2457" s="11">
        <v>6000</v>
      </c>
      <c r="H2457" s="11">
        <v>6000</v>
      </c>
      <c r="I2457" s="4" t="s">
        <v>54</v>
      </c>
      <c r="J2457" s="4" t="s">
        <v>55</v>
      </c>
      <c r="K2457" s="11">
        <v>0</v>
      </c>
      <c r="L2457" s="4"/>
      <c r="M2457" s="4"/>
      <c r="N2457" s="11">
        <v>0</v>
      </c>
      <c r="O2457" s="4"/>
      <c r="P2457" s="4"/>
      <c r="Q2457" s="11">
        <v>0</v>
      </c>
      <c r="R2457" s="4"/>
      <c r="S2457" s="12"/>
    </row>
    <row r="2458" spans="1:19" x14ac:dyDescent="0.25">
      <c r="A2458" s="9" t="s">
        <v>743</v>
      </c>
      <c r="B2458" s="9" t="s">
        <v>766</v>
      </c>
      <c r="C2458" s="4">
        <v>201004743</v>
      </c>
      <c r="D2458" s="4" t="s">
        <v>2343</v>
      </c>
      <c r="E2458" s="4" t="str">
        <f>"095322010"</f>
        <v>095322010</v>
      </c>
      <c r="F2458" s="10">
        <v>40388</v>
      </c>
      <c r="G2458" s="11">
        <v>5000</v>
      </c>
      <c r="H2458" s="11">
        <v>5000</v>
      </c>
      <c r="I2458" s="4" t="s">
        <v>54</v>
      </c>
      <c r="J2458" s="4" t="s">
        <v>55</v>
      </c>
      <c r="K2458" s="11">
        <v>0</v>
      </c>
      <c r="L2458" s="4"/>
      <c r="M2458" s="4"/>
      <c r="N2458" s="11">
        <v>0</v>
      </c>
      <c r="O2458" s="4"/>
      <c r="P2458" s="4"/>
      <c r="Q2458" s="11">
        <v>0</v>
      </c>
      <c r="R2458" s="4"/>
      <c r="S2458" s="12"/>
    </row>
    <row r="2459" spans="1:19" x14ac:dyDescent="0.25">
      <c r="A2459" s="9" t="s">
        <v>743</v>
      </c>
      <c r="B2459" s="9" t="s">
        <v>766</v>
      </c>
      <c r="C2459" s="4">
        <v>201004745</v>
      </c>
      <c r="D2459" s="4"/>
      <c r="E2459" s="4" t="str">
        <f>"095342010"</f>
        <v>095342010</v>
      </c>
      <c r="F2459" s="10">
        <v>40388</v>
      </c>
      <c r="G2459" s="11">
        <v>8057</v>
      </c>
      <c r="H2459" s="11">
        <v>8057</v>
      </c>
      <c r="I2459" s="4" t="s">
        <v>54</v>
      </c>
      <c r="J2459" s="4" t="s">
        <v>55</v>
      </c>
      <c r="K2459" s="11">
        <v>0</v>
      </c>
      <c r="L2459" s="4"/>
      <c r="M2459" s="4"/>
      <c r="N2459" s="11">
        <v>0</v>
      </c>
      <c r="O2459" s="4"/>
      <c r="P2459" s="4"/>
      <c r="Q2459" s="11">
        <v>0</v>
      </c>
      <c r="R2459" s="4"/>
      <c r="S2459" s="12"/>
    </row>
    <row r="2460" spans="1:19" x14ac:dyDescent="0.25">
      <c r="A2460" s="9" t="s">
        <v>743</v>
      </c>
      <c r="B2460" s="9" t="s">
        <v>766</v>
      </c>
      <c r="C2460" s="4">
        <v>201005310</v>
      </c>
      <c r="D2460" s="4"/>
      <c r="E2460" s="4" t="str">
        <f>"105472010"</f>
        <v>105472010</v>
      </c>
      <c r="F2460" s="10">
        <v>40415</v>
      </c>
      <c r="G2460" s="11">
        <v>2507.84</v>
      </c>
      <c r="H2460" s="11">
        <v>2507.84</v>
      </c>
      <c r="I2460" s="4" t="s">
        <v>54</v>
      </c>
      <c r="J2460" s="4" t="s">
        <v>55</v>
      </c>
      <c r="K2460" s="11">
        <v>0</v>
      </c>
      <c r="L2460" s="4"/>
      <c r="M2460" s="4"/>
      <c r="N2460" s="11">
        <v>0</v>
      </c>
      <c r="O2460" s="4"/>
      <c r="P2460" s="4"/>
      <c r="Q2460" s="11">
        <v>0</v>
      </c>
      <c r="R2460" s="4"/>
      <c r="S2460" s="12"/>
    </row>
    <row r="2461" spans="1:19" x14ac:dyDescent="0.25">
      <c r="A2461" s="9" t="s">
        <v>743</v>
      </c>
      <c r="B2461" s="9" t="s">
        <v>766</v>
      </c>
      <c r="C2461" s="4">
        <v>201005359</v>
      </c>
      <c r="D2461" s="4"/>
      <c r="E2461" s="4" t="str">
        <f>"106452010"</f>
        <v>106452010</v>
      </c>
      <c r="F2461" s="10">
        <v>40417</v>
      </c>
      <c r="G2461" s="11">
        <v>8000</v>
      </c>
      <c r="H2461" s="11">
        <v>8000</v>
      </c>
      <c r="I2461" s="4" t="s">
        <v>54</v>
      </c>
      <c r="J2461" s="4" t="s">
        <v>55</v>
      </c>
      <c r="K2461" s="11">
        <v>0</v>
      </c>
      <c r="L2461" s="4"/>
      <c r="M2461" s="4"/>
      <c r="N2461" s="11">
        <v>0</v>
      </c>
      <c r="O2461" s="4"/>
      <c r="P2461" s="4"/>
      <c r="Q2461" s="11">
        <v>0</v>
      </c>
      <c r="R2461" s="4"/>
      <c r="S2461" s="12"/>
    </row>
    <row r="2462" spans="1:19" x14ac:dyDescent="0.25">
      <c r="A2462" s="9" t="s">
        <v>743</v>
      </c>
      <c r="B2462" s="9" t="s">
        <v>766</v>
      </c>
      <c r="C2462" s="4">
        <v>201005447</v>
      </c>
      <c r="D2462" s="4"/>
      <c r="E2462" s="4" t="str">
        <f>"107932010"</f>
        <v>107932010</v>
      </c>
      <c r="F2462" s="10">
        <v>40423</v>
      </c>
      <c r="G2462" s="11">
        <v>4280.2</v>
      </c>
      <c r="H2462" s="11">
        <v>4280.2</v>
      </c>
      <c r="I2462" s="4" t="s">
        <v>54</v>
      </c>
      <c r="J2462" s="4" t="s">
        <v>55</v>
      </c>
      <c r="K2462" s="11">
        <v>0</v>
      </c>
      <c r="L2462" s="4"/>
      <c r="M2462" s="4"/>
      <c r="N2462" s="11">
        <v>0</v>
      </c>
      <c r="O2462" s="4"/>
      <c r="P2462" s="4"/>
      <c r="Q2462" s="11">
        <v>0</v>
      </c>
      <c r="R2462" s="4"/>
      <c r="S2462" s="12"/>
    </row>
    <row r="2463" spans="1:19" x14ac:dyDescent="0.25">
      <c r="A2463" s="9" t="s">
        <v>749</v>
      </c>
      <c r="B2463" s="9" t="s">
        <v>749</v>
      </c>
      <c r="C2463" s="4">
        <v>201000156</v>
      </c>
      <c r="D2463" s="4"/>
      <c r="E2463" s="4" t="str">
        <f>"002642010"</f>
        <v>002642010</v>
      </c>
      <c r="F2463" s="10">
        <v>40100</v>
      </c>
      <c r="G2463" s="11">
        <v>3203.87</v>
      </c>
      <c r="H2463" s="11">
        <v>3203.87</v>
      </c>
      <c r="I2463" s="4" t="s">
        <v>366</v>
      </c>
      <c r="J2463" s="4" t="s">
        <v>367</v>
      </c>
      <c r="K2463" s="11">
        <v>0</v>
      </c>
      <c r="L2463" s="4"/>
      <c r="M2463" s="4"/>
      <c r="N2463" s="11">
        <v>0</v>
      </c>
      <c r="O2463" s="4"/>
      <c r="P2463" s="4"/>
      <c r="Q2463" s="11">
        <v>0</v>
      </c>
      <c r="R2463" s="4"/>
      <c r="S2463" s="12"/>
    </row>
    <row r="2464" spans="1:19" x14ac:dyDescent="0.25">
      <c r="A2464" s="9" t="s">
        <v>749</v>
      </c>
      <c r="B2464" s="9" t="s">
        <v>749</v>
      </c>
      <c r="C2464" s="4">
        <v>201000543</v>
      </c>
      <c r="D2464" s="4"/>
      <c r="E2464" s="4" t="str">
        <f>"009812010"</f>
        <v>009812010</v>
      </c>
      <c r="F2464" s="10">
        <v>40123</v>
      </c>
      <c r="G2464" s="11">
        <v>2886</v>
      </c>
      <c r="H2464" s="11">
        <v>2886</v>
      </c>
      <c r="I2464" s="4" t="s">
        <v>366</v>
      </c>
      <c r="J2464" s="4" t="s">
        <v>367</v>
      </c>
      <c r="K2464" s="11">
        <v>0</v>
      </c>
      <c r="L2464" s="4"/>
      <c r="M2464" s="4"/>
      <c r="N2464" s="11">
        <v>0</v>
      </c>
      <c r="O2464" s="4"/>
      <c r="P2464" s="4"/>
      <c r="Q2464" s="11">
        <v>0</v>
      </c>
      <c r="R2464" s="4"/>
      <c r="S2464" s="12"/>
    </row>
    <row r="2465" spans="1:19" x14ac:dyDescent="0.25">
      <c r="A2465" s="9" t="s">
        <v>749</v>
      </c>
      <c r="B2465" s="9" t="s">
        <v>749</v>
      </c>
      <c r="C2465" s="4">
        <v>201000832</v>
      </c>
      <c r="D2465" s="4" t="s">
        <v>2344</v>
      </c>
      <c r="E2465" s="4" t="str">
        <f>"021292010"</f>
        <v>021292010</v>
      </c>
      <c r="F2465" s="10">
        <v>40158</v>
      </c>
      <c r="G2465" s="11">
        <v>10000</v>
      </c>
      <c r="H2465" s="11">
        <v>10000</v>
      </c>
      <c r="I2465" s="4" t="s">
        <v>366</v>
      </c>
      <c r="J2465" s="4" t="s">
        <v>367</v>
      </c>
      <c r="K2465" s="11">
        <v>0</v>
      </c>
      <c r="L2465" s="4"/>
      <c r="M2465" s="4"/>
      <c r="N2465" s="11">
        <v>0</v>
      </c>
      <c r="O2465" s="4"/>
      <c r="P2465" s="4"/>
      <c r="Q2465" s="11">
        <v>0</v>
      </c>
      <c r="R2465" s="4"/>
      <c r="S2465" s="12"/>
    </row>
    <row r="2466" spans="1:19" x14ac:dyDescent="0.25">
      <c r="A2466" s="9" t="s">
        <v>749</v>
      </c>
      <c r="B2466" s="9" t="s">
        <v>749</v>
      </c>
      <c r="C2466" s="4">
        <v>201000988</v>
      </c>
      <c r="D2466" s="4"/>
      <c r="E2466" s="4" t="str">
        <f>"019862010"</f>
        <v>019862010</v>
      </c>
      <c r="F2466" s="10">
        <v>40157</v>
      </c>
      <c r="G2466" s="11">
        <v>5818.14</v>
      </c>
      <c r="H2466" s="11">
        <v>5818.14</v>
      </c>
      <c r="I2466" s="4" t="s">
        <v>366</v>
      </c>
      <c r="J2466" s="4" t="s">
        <v>367</v>
      </c>
      <c r="K2466" s="11">
        <v>0</v>
      </c>
      <c r="L2466" s="4"/>
      <c r="M2466" s="4"/>
      <c r="N2466" s="11">
        <v>0</v>
      </c>
      <c r="O2466" s="4"/>
      <c r="P2466" s="4"/>
      <c r="Q2466" s="11">
        <v>0</v>
      </c>
      <c r="R2466" s="4"/>
      <c r="S2466" s="12"/>
    </row>
    <row r="2467" spans="1:19" x14ac:dyDescent="0.25">
      <c r="A2467" s="9" t="s">
        <v>749</v>
      </c>
      <c r="B2467" s="9" t="s">
        <v>749</v>
      </c>
      <c r="C2467" s="4">
        <v>201001009</v>
      </c>
      <c r="D2467" s="4" t="s">
        <v>2345</v>
      </c>
      <c r="E2467" s="4" t="str">
        <f>"021552010"</f>
        <v>021552010</v>
      </c>
      <c r="F2467" s="10">
        <v>40161</v>
      </c>
      <c r="G2467" s="11">
        <v>17000</v>
      </c>
      <c r="H2467" s="11">
        <v>17000</v>
      </c>
      <c r="I2467" s="4" t="s">
        <v>366</v>
      </c>
      <c r="J2467" s="4" t="s">
        <v>367</v>
      </c>
      <c r="K2467" s="11">
        <v>0</v>
      </c>
      <c r="L2467" s="4"/>
      <c r="M2467" s="4"/>
      <c r="N2467" s="11">
        <v>0</v>
      </c>
      <c r="O2467" s="4"/>
      <c r="P2467" s="4"/>
      <c r="Q2467" s="11">
        <v>0</v>
      </c>
      <c r="R2467" s="4"/>
      <c r="S2467" s="12"/>
    </row>
    <row r="2468" spans="1:19" x14ac:dyDescent="0.25">
      <c r="A2468" s="9" t="s">
        <v>749</v>
      </c>
      <c r="B2468" s="9" t="s">
        <v>749</v>
      </c>
      <c r="C2468" s="4">
        <v>201001102</v>
      </c>
      <c r="D2468" s="4"/>
      <c r="E2468" s="4" t="str">
        <f>"022532010"</f>
        <v>022532010</v>
      </c>
      <c r="F2468" s="10">
        <v>40164</v>
      </c>
      <c r="G2468" s="11">
        <v>9171.43</v>
      </c>
      <c r="H2468" s="11">
        <v>9171.43</v>
      </c>
      <c r="I2468" s="4" t="s">
        <v>366</v>
      </c>
      <c r="J2468" s="4" t="s">
        <v>367</v>
      </c>
      <c r="K2468" s="11">
        <v>0</v>
      </c>
      <c r="L2468" s="4"/>
      <c r="M2468" s="4"/>
      <c r="N2468" s="11">
        <v>0</v>
      </c>
      <c r="O2468" s="4"/>
      <c r="P2468" s="4"/>
      <c r="Q2468" s="11">
        <v>0</v>
      </c>
      <c r="R2468" s="4"/>
      <c r="S2468" s="12"/>
    </row>
    <row r="2469" spans="1:19" x14ac:dyDescent="0.25">
      <c r="A2469" s="9" t="s">
        <v>749</v>
      </c>
      <c r="B2469" s="9" t="s">
        <v>749</v>
      </c>
      <c r="C2469" s="4">
        <v>201001105</v>
      </c>
      <c r="D2469" s="4"/>
      <c r="E2469" s="4" t="str">
        <f>"022772010"</f>
        <v>022772010</v>
      </c>
      <c r="F2469" s="10">
        <v>40165</v>
      </c>
      <c r="G2469" s="11">
        <v>4766.1499999999996</v>
      </c>
      <c r="H2469" s="11">
        <v>4766.1499999999996</v>
      </c>
      <c r="I2469" s="4" t="s">
        <v>23</v>
      </c>
      <c r="J2469" s="4" t="s">
        <v>24</v>
      </c>
      <c r="K2469" s="11">
        <v>0</v>
      </c>
      <c r="L2469" s="4"/>
      <c r="M2469" s="4"/>
      <c r="N2469" s="11">
        <v>0</v>
      </c>
      <c r="O2469" s="4"/>
      <c r="P2469" s="4"/>
      <c r="Q2469" s="11">
        <v>0</v>
      </c>
      <c r="R2469" s="4"/>
      <c r="S2469" s="12"/>
    </row>
    <row r="2470" spans="1:19" x14ac:dyDescent="0.25">
      <c r="A2470" s="9" t="s">
        <v>749</v>
      </c>
      <c r="B2470" s="9" t="s">
        <v>749</v>
      </c>
      <c r="C2470" s="4">
        <v>201001106</v>
      </c>
      <c r="D2470" s="4"/>
      <c r="E2470" s="4" t="str">
        <f>"031562010"</f>
        <v>031562010</v>
      </c>
      <c r="F2470" s="10">
        <v>40198</v>
      </c>
      <c r="G2470" s="11">
        <v>2863.03</v>
      </c>
      <c r="H2470" s="11">
        <v>2863.03</v>
      </c>
      <c r="I2470" s="4" t="s">
        <v>366</v>
      </c>
      <c r="J2470" s="4" t="s">
        <v>367</v>
      </c>
      <c r="K2470" s="11">
        <v>0</v>
      </c>
      <c r="L2470" s="4"/>
      <c r="M2470" s="4"/>
      <c r="N2470" s="11">
        <v>0</v>
      </c>
      <c r="O2470" s="4"/>
      <c r="P2470" s="4"/>
      <c r="Q2470" s="11">
        <v>0</v>
      </c>
      <c r="R2470" s="4"/>
      <c r="S2470" s="12"/>
    </row>
    <row r="2471" spans="1:19" x14ac:dyDescent="0.25">
      <c r="A2471" s="9" t="s">
        <v>749</v>
      </c>
      <c r="B2471" s="9" t="s">
        <v>749</v>
      </c>
      <c r="C2471" s="4">
        <v>201001142</v>
      </c>
      <c r="D2471" s="4"/>
      <c r="E2471" s="4" t="str">
        <f>"022432010"</f>
        <v>022432010</v>
      </c>
      <c r="F2471" s="10">
        <v>40164</v>
      </c>
      <c r="G2471" s="11">
        <v>6369.31</v>
      </c>
      <c r="H2471" s="11">
        <v>6369.31</v>
      </c>
      <c r="I2471" s="4" t="s">
        <v>366</v>
      </c>
      <c r="J2471" s="4" t="s">
        <v>367</v>
      </c>
      <c r="K2471" s="11">
        <v>0</v>
      </c>
      <c r="L2471" s="4"/>
      <c r="M2471" s="4"/>
      <c r="N2471" s="11">
        <v>0</v>
      </c>
      <c r="O2471" s="4"/>
      <c r="P2471" s="4"/>
      <c r="Q2471" s="11">
        <v>0</v>
      </c>
      <c r="R2471" s="4"/>
      <c r="S2471" s="12"/>
    </row>
    <row r="2472" spans="1:19" x14ac:dyDescent="0.25">
      <c r="A2472" s="9" t="s">
        <v>749</v>
      </c>
      <c r="B2472" s="9" t="s">
        <v>749</v>
      </c>
      <c r="C2472" s="4">
        <v>201001445</v>
      </c>
      <c r="D2472" s="4"/>
      <c r="E2472" s="4" t="str">
        <f>"031222010"</f>
        <v>031222010</v>
      </c>
      <c r="F2472" s="10">
        <v>40197</v>
      </c>
      <c r="G2472" s="11">
        <v>30000</v>
      </c>
      <c r="H2472" s="11">
        <v>30000</v>
      </c>
      <c r="I2472" s="4" t="s">
        <v>366</v>
      </c>
      <c r="J2472" s="4" t="s">
        <v>367</v>
      </c>
      <c r="K2472" s="11">
        <v>0</v>
      </c>
      <c r="L2472" s="4"/>
      <c r="M2472" s="4"/>
      <c r="N2472" s="11">
        <v>0</v>
      </c>
      <c r="O2472" s="4"/>
      <c r="P2472" s="4"/>
      <c r="Q2472" s="11">
        <v>0</v>
      </c>
      <c r="R2472" s="4"/>
      <c r="S2472" s="12"/>
    </row>
    <row r="2473" spans="1:19" x14ac:dyDescent="0.25">
      <c r="A2473" s="9" t="s">
        <v>749</v>
      </c>
      <c r="B2473" s="9" t="s">
        <v>749</v>
      </c>
      <c r="C2473" s="4">
        <v>201001447</v>
      </c>
      <c r="D2473" s="4"/>
      <c r="E2473" s="4" t="str">
        <f>"032962010"</f>
        <v>032962010</v>
      </c>
      <c r="F2473" s="10">
        <v>40200</v>
      </c>
      <c r="G2473" s="11">
        <v>3158.75</v>
      </c>
      <c r="H2473" s="11">
        <v>3158.75</v>
      </c>
      <c r="I2473" s="4" t="s">
        <v>366</v>
      </c>
      <c r="J2473" s="4" t="s">
        <v>367</v>
      </c>
      <c r="K2473" s="11">
        <v>0</v>
      </c>
      <c r="L2473" s="4"/>
      <c r="M2473" s="4"/>
      <c r="N2473" s="11">
        <v>0</v>
      </c>
      <c r="O2473" s="4"/>
      <c r="P2473" s="4"/>
      <c r="Q2473" s="11">
        <v>0</v>
      </c>
      <c r="R2473" s="4"/>
      <c r="S2473" s="12"/>
    </row>
    <row r="2474" spans="1:19" x14ac:dyDescent="0.25">
      <c r="A2474" s="9" t="s">
        <v>749</v>
      </c>
      <c r="B2474" s="9" t="s">
        <v>749</v>
      </c>
      <c r="C2474" s="4">
        <v>201001454</v>
      </c>
      <c r="D2474" s="4"/>
      <c r="E2474" s="4" t="str">
        <f>"032262010"</f>
        <v>032262010</v>
      </c>
      <c r="F2474" s="10">
        <v>40200</v>
      </c>
      <c r="G2474" s="11">
        <v>4924.2</v>
      </c>
      <c r="H2474" s="11">
        <v>4924.2</v>
      </c>
      <c r="I2474" s="4" t="s">
        <v>366</v>
      </c>
      <c r="J2474" s="4" t="s">
        <v>367</v>
      </c>
      <c r="K2474" s="11">
        <v>0</v>
      </c>
      <c r="L2474" s="4"/>
      <c r="M2474" s="4"/>
      <c r="N2474" s="11">
        <v>0</v>
      </c>
      <c r="O2474" s="4"/>
      <c r="P2474" s="4"/>
      <c r="Q2474" s="11">
        <v>0</v>
      </c>
      <c r="R2474" s="4"/>
      <c r="S2474" s="12"/>
    </row>
    <row r="2475" spans="1:19" x14ac:dyDescent="0.25">
      <c r="A2475" s="9" t="s">
        <v>749</v>
      </c>
      <c r="B2475" s="9" t="s">
        <v>749</v>
      </c>
      <c r="C2475" s="4">
        <v>201001455</v>
      </c>
      <c r="D2475" s="4" t="s">
        <v>2346</v>
      </c>
      <c r="E2475" s="4" t="str">
        <f>"028542010"</f>
        <v>028542010</v>
      </c>
      <c r="F2475" s="10">
        <v>40186</v>
      </c>
      <c r="G2475" s="11">
        <v>10000</v>
      </c>
      <c r="H2475" s="11">
        <v>10000</v>
      </c>
      <c r="I2475" s="4" t="s">
        <v>366</v>
      </c>
      <c r="J2475" s="4" t="s">
        <v>367</v>
      </c>
      <c r="K2475" s="11">
        <v>0</v>
      </c>
      <c r="L2475" s="4"/>
      <c r="M2475" s="4"/>
      <c r="N2475" s="11">
        <v>0</v>
      </c>
      <c r="O2475" s="4"/>
      <c r="P2475" s="4"/>
      <c r="Q2475" s="11">
        <v>0</v>
      </c>
      <c r="R2475" s="4"/>
      <c r="S2475" s="12"/>
    </row>
    <row r="2476" spans="1:19" x14ac:dyDescent="0.25">
      <c r="A2476" s="9" t="s">
        <v>749</v>
      </c>
      <c r="B2476" s="9" t="s">
        <v>749</v>
      </c>
      <c r="C2476" s="4">
        <v>201001496</v>
      </c>
      <c r="D2476" s="4"/>
      <c r="E2476" s="4" t="str">
        <f>"029772010"</f>
        <v>029772010</v>
      </c>
      <c r="F2476" s="10">
        <v>40191</v>
      </c>
      <c r="G2476" s="11">
        <v>8321.9</v>
      </c>
      <c r="H2476" s="11">
        <v>8321.9</v>
      </c>
      <c r="I2476" s="4" t="s">
        <v>366</v>
      </c>
      <c r="J2476" s="4" t="s">
        <v>367</v>
      </c>
      <c r="K2476" s="11">
        <v>0</v>
      </c>
      <c r="L2476" s="4"/>
      <c r="M2476" s="4"/>
      <c r="N2476" s="11">
        <v>0</v>
      </c>
      <c r="O2476" s="4"/>
      <c r="P2476" s="4"/>
      <c r="Q2476" s="11">
        <v>0</v>
      </c>
      <c r="R2476" s="4"/>
      <c r="S2476" s="12"/>
    </row>
    <row r="2477" spans="1:19" x14ac:dyDescent="0.25">
      <c r="A2477" s="9" t="s">
        <v>749</v>
      </c>
      <c r="B2477" s="9" t="s">
        <v>749</v>
      </c>
      <c r="C2477" s="4">
        <v>201001569</v>
      </c>
      <c r="D2477" s="4"/>
      <c r="E2477" s="4" t="str">
        <f>"031982010"</f>
        <v>031982010</v>
      </c>
      <c r="F2477" s="10">
        <v>40199</v>
      </c>
      <c r="G2477" s="11">
        <v>6237.07</v>
      </c>
      <c r="H2477" s="11">
        <v>6237.07</v>
      </c>
      <c r="I2477" s="4" t="s">
        <v>366</v>
      </c>
      <c r="J2477" s="4" t="s">
        <v>367</v>
      </c>
      <c r="K2477" s="11">
        <v>0</v>
      </c>
      <c r="L2477" s="4"/>
      <c r="M2477" s="4"/>
      <c r="N2477" s="11">
        <v>0</v>
      </c>
      <c r="O2477" s="4"/>
      <c r="P2477" s="4"/>
      <c r="Q2477" s="11">
        <v>0</v>
      </c>
      <c r="R2477" s="4"/>
      <c r="S2477" s="12"/>
    </row>
    <row r="2478" spans="1:19" x14ac:dyDescent="0.25">
      <c r="A2478" s="9" t="s">
        <v>749</v>
      </c>
      <c r="B2478" s="9" t="s">
        <v>749</v>
      </c>
      <c r="C2478" s="4">
        <v>201001966</v>
      </c>
      <c r="D2478" s="4"/>
      <c r="E2478" s="4" t="str">
        <f>"039502010"</f>
        <v>039502010</v>
      </c>
      <c r="F2478" s="10">
        <v>40232</v>
      </c>
      <c r="G2478" s="11">
        <v>3980</v>
      </c>
      <c r="H2478" s="11">
        <v>3980</v>
      </c>
      <c r="I2478" s="4" t="s">
        <v>366</v>
      </c>
      <c r="J2478" s="4" t="s">
        <v>367</v>
      </c>
      <c r="K2478" s="11">
        <v>0</v>
      </c>
      <c r="L2478" s="4"/>
      <c r="M2478" s="4"/>
      <c r="N2478" s="11">
        <v>0</v>
      </c>
      <c r="O2478" s="4"/>
      <c r="P2478" s="4"/>
      <c r="Q2478" s="11">
        <v>0</v>
      </c>
      <c r="R2478" s="4"/>
      <c r="S2478" s="12"/>
    </row>
    <row r="2479" spans="1:19" x14ac:dyDescent="0.25">
      <c r="A2479" s="9" t="s">
        <v>749</v>
      </c>
      <c r="B2479" s="9" t="s">
        <v>749</v>
      </c>
      <c r="C2479" s="4">
        <v>201001994</v>
      </c>
      <c r="D2479" s="4"/>
      <c r="E2479" s="4" t="str">
        <f>"040982010"</f>
        <v>040982010</v>
      </c>
      <c r="F2479" s="10">
        <v>40234</v>
      </c>
      <c r="G2479" s="11">
        <v>4567.12</v>
      </c>
      <c r="H2479" s="11">
        <v>4567.12</v>
      </c>
      <c r="I2479" s="4" t="s">
        <v>366</v>
      </c>
      <c r="J2479" s="4" t="s">
        <v>367</v>
      </c>
      <c r="K2479" s="11">
        <v>0</v>
      </c>
      <c r="L2479" s="4"/>
      <c r="M2479" s="4"/>
      <c r="N2479" s="11">
        <v>0</v>
      </c>
      <c r="O2479" s="4"/>
      <c r="P2479" s="4"/>
      <c r="Q2479" s="11">
        <v>0</v>
      </c>
      <c r="R2479" s="4"/>
      <c r="S2479" s="12"/>
    </row>
    <row r="2480" spans="1:19" x14ac:dyDescent="0.25">
      <c r="A2480" s="9" t="s">
        <v>749</v>
      </c>
      <c r="B2480" s="9" t="s">
        <v>749</v>
      </c>
      <c r="C2480" s="4">
        <v>201002101</v>
      </c>
      <c r="D2480" s="4"/>
      <c r="E2480" s="4" t="str">
        <f>"044072010"</f>
        <v>044072010</v>
      </c>
      <c r="F2480" s="10">
        <v>40245</v>
      </c>
      <c r="G2480" s="11">
        <v>2890.43</v>
      </c>
      <c r="H2480" s="11">
        <v>2890.43</v>
      </c>
      <c r="I2480" s="4" t="s">
        <v>366</v>
      </c>
      <c r="J2480" s="4" t="s">
        <v>367</v>
      </c>
      <c r="K2480" s="11">
        <v>0</v>
      </c>
      <c r="L2480" s="4"/>
      <c r="M2480" s="4"/>
      <c r="N2480" s="11">
        <v>0</v>
      </c>
      <c r="O2480" s="4"/>
      <c r="P2480" s="4"/>
      <c r="Q2480" s="11">
        <v>0</v>
      </c>
      <c r="R2480" s="4"/>
      <c r="S2480" s="12"/>
    </row>
    <row r="2481" spans="1:19" x14ac:dyDescent="0.25">
      <c r="A2481" s="9" t="s">
        <v>749</v>
      </c>
      <c r="B2481" s="9" t="s">
        <v>749</v>
      </c>
      <c r="C2481" s="4">
        <v>201002281</v>
      </c>
      <c r="D2481" s="4"/>
      <c r="E2481" s="4" t="str">
        <f>"045942010"</f>
        <v>045942010</v>
      </c>
      <c r="F2481" s="10">
        <v>40249</v>
      </c>
      <c r="G2481" s="11">
        <v>5797.05</v>
      </c>
      <c r="H2481" s="11">
        <v>5797.05</v>
      </c>
      <c r="I2481" s="4" t="s">
        <v>366</v>
      </c>
      <c r="J2481" s="4" t="s">
        <v>367</v>
      </c>
      <c r="K2481" s="11">
        <v>0</v>
      </c>
      <c r="L2481" s="4"/>
      <c r="M2481" s="4"/>
      <c r="N2481" s="11">
        <v>0</v>
      </c>
      <c r="O2481" s="4"/>
      <c r="P2481" s="4"/>
      <c r="Q2481" s="11">
        <v>0</v>
      </c>
      <c r="R2481" s="4"/>
      <c r="S2481" s="12"/>
    </row>
    <row r="2482" spans="1:19" x14ac:dyDescent="0.25">
      <c r="A2482" s="9" t="s">
        <v>749</v>
      </c>
      <c r="B2482" s="9" t="s">
        <v>749</v>
      </c>
      <c r="C2482" s="4">
        <v>201002466</v>
      </c>
      <c r="D2482" s="4"/>
      <c r="E2482" s="4" t="str">
        <f>"052522010"</f>
        <v>052522010</v>
      </c>
      <c r="F2482" s="10">
        <v>40266</v>
      </c>
      <c r="G2482" s="11">
        <v>75000</v>
      </c>
      <c r="H2482" s="11">
        <v>75000</v>
      </c>
      <c r="I2482" s="4" t="s">
        <v>155</v>
      </c>
      <c r="J2482" s="4" t="s">
        <v>156</v>
      </c>
      <c r="K2482" s="11">
        <v>0</v>
      </c>
      <c r="L2482" s="4"/>
      <c r="M2482" s="4"/>
      <c r="N2482" s="11">
        <v>0</v>
      </c>
      <c r="O2482" s="4"/>
      <c r="P2482" s="4"/>
      <c r="Q2482" s="11">
        <v>0</v>
      </c>
      <c r="R2482" s="4"/>
      <c r="S2482" s="12"/>
    </row>
    <row r="2483" spans="1:19" x14ac:dyDescent="0.25">
      <c r="A2483" s="9" t="s">
        <v>749</v>
      </c>
      <c r="B2483" s="9" t="s">
        <v>749</v>
      </c>
      <c r="C2483" s="4">
        <v>201002512</v>
      </c>
      <c r="D2483" s="4"/>
      <c r="E2483" s="4" t="str">
        <f>"050522010"</f>
        <v>050522010</v>
      </c>
      <c r="F2483" s="10">
        <v>40263</v>
      </c>
      <c r="G2483" s="11">
        <v>11000</v>
      </c>
      <c r="H2483" s="11">
        <v>11000</v>
      </c>
      <c r="I2483" s="4" t="s">
        <v>366</v>
      </c>
      <c r="J2483" s="4" t="s">
        <v>367</v>
      </c>
      <c r="K2483" s="11">
        <v>0</v>
      </c>
      <c r="L2483" s="4"/>
      <c r="M2483" s="4"/>
      <c r="N2483" s="11">
        <v>0</v>
      </c>
      <c r="O2483" s="4"/>
      <c r="P2483" s="4"/>
      <c r="Q2483" s="11">
        <v>0</v>
      </c>
      <c r="R2483" s="4"/>
      <c r="S2483" s="12"/>
    </row>
    <row r="2484" spans="1:19" x14ac:dyDescent="0.25">
      <c r="A2484" s="9" t="s">
        <v>749</v>
      </c>
      <c r="B2484" s="9" t="s">
        <v>749</v>
      </c>
      <c r="C2484" s="4">
        <v>201002839</v>
      </c>
      <c r="D2484" s="4"/>
      <c r="E2484" s="4" t="str">
        <f>"064122010"</f>
        <v>064122010</v>
      </c>
      <c r="F2484" s="10">
        <v>40302</v>
      </c>
      <c r="G2484" s="11">
        <v>5015</v>
      </c>
      <c r="H2484" s="11">
        <v>5015</v>
      </c>
      <c r="I2484" s="4" t="s">
        <v>366</v>
      </c>
      <c r="J2484" s="4" t="s">
        <v>367</v>
      </c>
      <c r="K2484" s="11">
        <v>0</v>
      </c>
      <c r="L2484" s="4"/>
      <c r="M2484" s="4"/>
      <c r="N2484" s="11">
        <v>0</v>
      </c>
      <c r="O2484" s="4"/>
      <c r="P2484" s="4"/>
      <c r="Q2484" s="11">
        <v>0</v>
      </c>
      <c r="R2484" s="4"/>
      <c r="S2484" s="12"/>
    </row>
    <row r="2485" spans="1:19" x14ac:dyDescent="0.25">
      <c r="A2485" s="9" t="s">
        <v>749</v>
      </c>
      <c r="B2485" s="9" t="s">
        <v>749</v>
      </c>
      <c r="C2485" s="4">
        <v>201003023</v>
      </c>
      <c r="D2485" s="4" t="s">
        <v>2347</v>
      </c>
      <c r="E2485" s="4" t="str">
        <f>"061202010"</f>
        <v>061202010</v>
      </c>
      <c r="F2485" s="10">
        <v>40291</v>
      </c>
      <c r="G2485" s="11">
        <v>50000</v>
      </c>
      <c r="H2485" s="11">
        <v>50000</v>
      </c>
      <c r="I2485" s="4" t="s">
        <v>366</v>
      </c>
      <c r="J2485" s="4" t="s">
        <v>367</v>
      </c>
      <c r="K2485" s="11">
        <v>0</v>
      </c>
      <c r="L2485" s="4"/>
      <c r="M2485" s="4"/>
      <c r="N2485" s="11">
        <v>0</v>
      </c>
      <c r="O2485" s="4"/>
      <c r="P2485" s="4"/>
      <c r="Q2485" s="11">
        <v>0</v>
      </c>
      <c r="R2485" s="4"/>
      <c r="S2485" s="12"/>
    </row>
    <row r="2486" spans="1:19" x14ac:dyDescent="0.25">
      <c r="A2486" s="9" t="s">
        <v>749</v>
      </c>
      <c r="B2486" s="9" t="s">
        <v>749</v>
      </c>
      <c r="C2486" s="4">
        <v>201003087</v>
      </c>
      <c r="D2486" s="4" t="s">
        <v>2348</v>
      </c>
      <c r="E2486" s="4" t="str">
        <f>"061902010"</f>
        <v>061902010</v>
      </c>
      <c r="F2486" s="10">
        <v>40296</v>
      </c>
      <c r="G2486" s="11">
        <v>9000</v>
      </c>
      <c r="H2486" s="11">
        <v>9000</v>
      </c>
      <c r="I2486" s="4" t="s">
        <v>366</v>
      </c>
      <c r="J2486" s="4" t="s">
        <v>367</v>
      </c>
      <c r="K2486" s="11">
        <v>0</v>
      </c>
      <c r="L2486" s="4"/>
      <c r="M2486" s="4"/>
      <c r="N2486" s="11">
        <v>0</v>
      </c>
      <c r="O2486" s="4"/>
      <c r="P2486" s="4"/>
      <c r="Q2486" s="11">
        <v>0</v>
      </c>
      <c r="R2486" s="4"/>
      <c r="S2486" s="12"/>
    </row>
    <row r="2487" spans="1:19" x14ac:dyDescent="0.25">
      <c r="A2487" s="9" t="s">
        <v>749</v>
      </c>
      <c r="B2487" s="9" t="s">
        <v>749</v>
      </c>
      <c r="C2487" s="4">
        <v>201003288</v>
      </c>
      <c r="D2487" s="4"/>
      <c r="E2487" s="4" t="str">
        <f>"065662010"</f>
        <v>065662010</v>
      </c>
      <c r="F2487" s="10">
        <v>40304</v>
      </c>
      <c r="G2487" s="11">
        <v>2839</v>
      </c>
      <c r="H2487" s="11">
        <v>2839</v>
      </c>
      <c r="I2487" s="4" t="s">
        <v>366</v>
      </c>
      <c r="J2487" s="4" t="s">
        <v>367</v>
      </c>
      <c r="K2487" s="11">
        <v>0</v>
      </c>
      <c r="L2487" s="4"/>
      <c r="M2487" s="4"/>
      <c r="N2487" s="11">
        <v>0</v>
      </c>
      <c r="O2487" s="4"/>
      <c r="P2487" s="4"/>
      <c r="Q2487" s="11">
        <v>0</v>
      </c>
      <c r="R2487" s="4"/>
      <c r="S2487" s="12"/>
    </row>
    <row r="2488" spans="1:19" x14ac:dyDescent="0.25">
      <c r="A2488" s="9" t="s">
        <v>749</v>
      </c>
      <c r="B2488" s="9" t="s">
        <v>749</v>
      </c>
      <c r="C2488" s="4">
        <v>201003304</v>
      </c>
      <c r="D2488" s="4"/>
      <c r="E2488" s="4" t="str">
        <f>"066622010"</f>
        <v>066622010</v>
      </c>
      <c r="F2488" s="10">
        <v>40308</v>
      </c>
      <c r="G2488" s="11">
        <v>3901.83</v>
      </c>
      <c r="H2488" s="11">
        <v>3901.83</v>
      </c>
      <c r="I2488" s="4" t="s">
        <v>366</v>
      </c>
      <c r="J2488" s="4" t="s">
        <v>367</v>
      </c>
      <c r="K2488" s="11">
        <v>0</v>
      </c>
      <c r="L2488" s="4"/>
      <c r="M2488" s="4"/>
      <c r="N2488" s="11">
        <v>0</v>
      </c>
      <c r="O2488" s="4"/>
      <c r="P2488" s="4"/>
      <c r="Q2488" s="11">
        <v>0</v>
      </c>
      <c r="R2488" s="4"/>
      <c r="S2488" s="12"/>
    </row>
    <row r="2489" spans="1:19" x14ac:dyDescent="0.25">
      <c r="A2489" s="9" t="s">
        <v>749</v>
      </c>
      <c r="B2489" s="9" t="s">
        <v>749</v>
      </c>
      <c r="C2489" s="4">
        <v>201003305</v>
      </c>
      <c r="D2489" s="4"/>
      <c r="E2489" s="4" t="str">
        <f>"071092010"</f>
        <v>071092010</v>
      </c>
      <c r="F2489" s="10">
        <v>40318</v>
      </c>
      <c r="G2489" s="11">
        <v>8843.7999999999993</v>
      </c>
      <c r="H2489" s="11">
        <v>8843.7999999999993</v>
      </c>
      <c r="I2489" s="4" t="s">
        <v>366</v>
      </c>
      <c r="J2489" s="4" t="s">
        <v>367</v>
      </c>
      <c r="K2489" s="11">
        <v>0</v>
      </c>
      <c r="L2489" s="4"/>
      <c r="M2489" s="4"/>
      <c r="N2489" s="11">
        <v>0</v>
      </c>
      <c r="O2489" s="4"/>
      <c r="P2489" s="4"/>
      <c r="Q2489" s="11">
        <v>0</v>
      </c>
      <c r="R2489" s="4"/>
      <c r="S2489" s="12"/>
    </row>
    <row r="2490" spans="1:19" x14ac:dyDescent="0.25">
      <c r="A2490" s="9" t="s">
        <v>749</v>
      </c>
      <c r="B2490" s="9" t="s">
        <v>945</v>
      </c>
      <c r="C2490" s="4">
        <v>201003330</v>
      </c>
      <c r="D2490" s="4"/>
      <c r="E2490" s="4" t="str">
        <f>"066702010"</f>
        <v>066702010</v>
      </c>
      <c r="F2490" s="10">
        <v>40310</v>
      </c>
      <c r="G2490" s="11">
        <v>5323.17</v>
      </c>
      <c r="H2490" s="11">
        <v>5323.17</v>
      </c>
      <c r="I2490" s="4" t="s">
        <v>366</v>
      </c>
      <c r="J2490" s="4" t="s">
        <v>367</v>
      </c>
      <c r="K2490" s="11">
        <v>0</v>
      </c>
      <c r="L2490" s="4"/>
      <c r="M2490" s="4"/>
      <c r="N2490" s="11">
        <v>0</v>
      </c>
      <c r="O2490" s="4"/>
      <c r="P2490" s="4"/>
      <c r="Q2490" s="11">
        <v>0</v>
      </c>
      <c r="R2490" s="4"/>
      <c r="S2490" s="12"/>
    </row>
    <row r="2491" spans="1:19" x14ac:dyDescent="0.25">
      <c r="A2491" s="9" t="s">
        <v>749</v>
      </c>
      <c r="B2491" s="9" t="s">
        <v>749</v>
      </c>
      <c r="C2491" s="4">
        <v>201003449</v>
      </c>
      <c r="D2491" s="4"/>
      <c r="E2491" s="4" t="str">
        <f>"068982010"</f>
        <v>068982010</v>
      </c>
      <c r="F2491" s="10">
        <v>40312</v>
      </c>
      <c r="G2491" s="11">
        <v>50000</v>
      </c>
      <c r="H2491" s="11">
        <v>50000</v>
      </c>
      <c r="I2491" s="4" t="s">
        <v>366</v>
      </c>
      <c r="J2491" s="4" t="s">
        <v>367</v>
      </c>
      <c r="K2491" s="11">
        <v>0</v>
      </c>
      <c r="L2491" s="4"/>
      <c r="M2491" s="4"/>
      <c r="N2491" s="11">
        <v>0</v>
      </c>
      <c r="O2491" s="4"/>
      <c r="P2491" s="4"/>
      <c r="Q2491" s="11">
        <v>0</v>
      </c>
      <c r="R2491" s="4"/>
      <c r="S2491" s="12"/>
    </row>
    <row r="2492" spans="1:19" x14ac:dyDescent="0.25">
      <c r="A2492" s="9" t="s">
        <v>749</v>
      </c>
      <c r="B2492" s="9" t="s">
        <v>749</v>
      </c>
      <c r="C2492" s="4">
        <v>201003466</v>
      </c>
      <c r="D2492" s="4" t="s">
        <v>2349</v>
      </c>
      <c r="E2492" s="4" t="str">
        <f>"071372010"</f>
        <v>071372010</v>
      </c>
      <c r="F2492" s="10">
        <v>40318</v>
      </c>
      <c r="G2492" s="11">
        <v>19500</v>
      </c>
      <c r="H2492" s="11">
        <v>19500</v>
      </c>
      <c r="I2492" s="4" t="s">
        <v>366</v>
      </c>
      <c r="J2492" s="4" t="s">
        <v>367</v>
      </c>
      <c r="K2492" s="11">
        <v>0</v>
      </c>
      <c r="L2492" s="4"/>
      <c r="M2492" s="4"/>
      <c r="N2492" s="11">
        <v>0</v>
      </c>
      <c r="O2492" s="4"/>
      <c r="P2492" s="4"/>
      <c r="Q2492" s="11">
        <v>0</v>
      </c>
      <c r="R2492" s="4"/>
      <c r="S2492" s="12"/>
    </row>
    <row r="2493" spans="1:19" x14ac:dyDescent="0.25">
      <c r="A2493" s="9" t="s">
        <v>749</v>
      </c>
      <c r="B2493" s="9" t="s">
        <v>749</v>
      </c>
      <c r="C2493" s="4">
        <v>201003760</v>
      </c>
      <c r="D2493" s="4"/>
      <c r="E2493" s="4" t="str">
        <f>"075522010"</f>
        <v>075522010</v>
      </c>
      <c r="F2493" s="10">
        <v>40332</v>
      </c>
      <c r="G2493" s="11">
        <v>2791.11</v>
      </c>
      <c r="H2493" s="11">
        <v>2791.11</v>
      </c>
      <c r="I2493" s="4" t="s">
        <v>366</v>
      </c>
      <c r="J2493" s="4" t="s">
        <v>367</v>
      </c>
      <c r="K2493" s="11">
        <v>0</v>
      </c>
      <c r="L2493" s="4"/>
      <c r="M2493" s="4"/>
      <c r="N2493" s="11">
        <v>0</v>
      </c>
      <c r="O2493" s="4"/>
      <c r="P2493" s="4"/>
      <c r="Q2493" s="11">
        <v>0</v>
      </c>
      <c r="R2493" s="4"/>
      <c r="S2493" s="12"/>
    </row>
    <row r="2494" spans="1:19" x14ac:dyDescent="0.25">
      <c r="A2494" s="9" t="s">
        <v>749</v>
      </c>
      <c r="B2494" s="9" t="s">
        <v>749</v>
      </c>
      <c r="C2494" s="4">
        <v>201003762</v>
      </c>
      <c r="D2494" s="4"/>
      <c r="E2494" s="4" t="str">
        <f>"075542010"</f>
        <v>075542010</v>
      </c>
      <c r="F2494" s="10">
        <v>40331</v>
      </c>
      <c r="G2494" s="11">
        <v>2954.95</v>
      </c>
      <c r="H2494" s="11">
        <v>2954.95</v>
      </c>
      <c r="I2494" s="4" t="s">
        <v>366</v>
      </c>
      <c r="J2494" s="4" t="s">
        <v>367</v>
      </c>
      <c r="K2494" s="11">
        <v>0</v>
      </c>
      <c r="L2494" s="4"/>
      <c r="M2494" s="4"/>
      <c r="N2494" s="11">
        <v>0</v>
      </c>
      <c r="O2494" s="4"/>
      <c r="P2494" s="4"/>
      <c r="Q2494" s="11">
        <v>0</v>
      </c>
      <c r="R2494" s="4"/>
      <c r="S2494" s="12"/>
    </row>
    <row r="2495" spans="1:19" x14ac:dyDescent="0.25">
      <c r="A2495" s="9" t="s">
        <v>749</v>
      </c>
      <c r="B2495" s="9" t="s">
        <v>749</v>
      </c>
      <c r="C2495" s="4">
        <v>201003763</v>
      </c>
      <c r="D2495" s="4"/>
      <c r="E2495" s="4" t="str">
        <f>"076552010"</f>
        <v>076552010</v>
      </c>
      <c r="F2495" s="10">
        <v>40336</v>
      </c>
      <c r="G2495" s="11">
        <v>6907</v>
      </c>
      <c r="H2495" s="11">
        <v>6907</v>
      </c>
      <c r="I2495" s="4" t="s">
        <v>366</v>
      </c>
      <c r="J2495" s="4" t="s">
        <v>367</v>
      </c>
      <c r="K2495" s="11">
        <v>0</v>
      </c>
      <c r="L2495" s="4"/>
      <c r="M2495" s="4"/>
      <c r="N2495" s="11">
        <v>0</v>
      </c>
      <c r="O2495" s="4"/>
      <c r="P2495" s="4"/>
      <c r="Q2495" s="11">
        <v>0</v>
      </c>
      <c r="R2495" s="4"/>
      <c r="S2495" s="12"/>
    </row>
    <row r="2496" spans="1:19" x14ac:dyDescent="0.25">
      <c r="A2496" s="9" t="s">
        <v>749</v>
      </c>
      <c r="B2496" s="9" t="s">
        <v>749</v>
      </c>
      <c r="C2496" s="4">
        <v>201003847</v>
      </c>
      <c r="D2496" s="4"/>
      <c r="E2496" s="4" t="str">
        <f>"076712010"</f>
        <v>076712010</v>
      </c>
      <c r="F2496" s="10">
        <v>40338</v>
      </c>
      <c r="G2496" s="11">
        <v>3000</v>
      </c>
      <c r="H2496" s="11">
        <v>3000</v>
      </c>
      <c r="I2496" s="4" t="s">
        <v>366</v>
      </c>
      <c r="J2496" s="4" t="s">
        <v>367</v>
      </c>
      <c r="K2496" s="11">
        <v>0</v>
      </c>
      <c r="L2496" s="4"/>
      <c r="M2496" s="4"/>
      <c r="N2496" s="11">
        <v>0</v>
      </c>
      <c r="O2496" s="4"/>
      <c r="P2496" s="4"/>
      <c r="Q2496" s="11">
        <v>0</v>
      </c>
      <c r="R2496" s="4"/>
      <c r="S2496" s="12"/>
    </row>
    <row r="2497" spans="1:19" x14ac:dyDescent="0.25">
      <c r="A2497" s="9" t="s">
        <v>749</v>
      </c>
      <c r="B2497" s="9" t="s">
        <v>749</v>
      </c>
      <c r="C2497" s="4">
        <v>201003852</v>
      </c>
      <c r="D2497" s="4" t="s">
        <v>2350</v>
      </c>
      <c r="E2497" s="4" t="str">
        <f>"077142010"</f>
        <v>077142010</v>
      </c>
      <c r="F2497" s="10">
        <v>40337</v>
      </c>
      <c r="G2497" s="11">
        <v>45000</v>
      </c>
      <c r="H2497" s="11">
        <v>45000</v>
      </c>
      <c r="I2497" s="4" t="s">
        <v>366</v>
      </c>
      <c r="J2497" s="4" t="s">
        <v>367</v>
      </c>
      <c r="K2497" s="11">
        <v>0</v>
      </c>
      <c r="L2497" s="4"/>
      <c r="M2497" s="4"/>
      <c r="N2497" s="11">
        <v>0</v>
      </c>
      <c r="O2497" s="4"/>
      <c r="P2497" s="4"/>
      <c r="Q2497" s="11">
        <v>0</v>
      </c>
      <c r="R2497" s="4"/>
      <c r="S2497" s="12"/>
    </row>
    <row r="2498" spans="1:19" x14ac:dyDescent="0.25">
      <c r="A2498" s="9" t="s">
        <v>749</v>
      </c>
      <c r="B2498" s="9" t="s">
        <v>749</v>
      </c>
      <c r="C2498" s="4">
        <v>201004136</v>
      </c>
      <c r="D2498" s="4"/>
      <c r="E2498" s="4" t="str">
        <f>"083882010"</f>
        <v>083882010</v>
      </c>
      <c r="F2498" s="10">
        <v>40354</v>
      </c>
      <c r="G2498" s="11">
        <v>3000</v>
      </c>
      <c r="H2498" s="11">
        <v>3000</v>
      </c>
      <c r="I2498" s="4" t="s">
        <v>366</v>
      </c>
      <c r="J2498" s="4" t="s">
        <v>367</v>
      </c>
      <c r="K2498" s="11">
        <v>0</v>
      </c>
      <c r="L2498" s="4"/>
      <c r="M2498" s="4"/>
      <c r="N2498" s="11">
        <v>0</v>
      </c>
      <c r="O2498" s="4"/>
      <c r="P2498" s="4"/>
      <c r="Q2498" s="11">
        <v>0</v>
      </c>
      <c r="R2498" s="4"/>
      <c r="S2498" s="12"/>
    </row>
    <row r="2499" spans="1:19" x14ac:dyDescent="0.25">
      <c r="A2499" s="9" t="s">
        <v>749</v>
      </c>
      <c r="B2499" s="9" t="s">
        <v>749</v>
      </c>
      <c r="C2499" s="4">
        <v>201004161</v>
      </c>
      <c r="D2499" s="4"/>
      <c r="E2499" s="4" t="str">
        <f>"088882010"</f>
        <v>088882010</v>
      </c>
      <c r="F2499" s="10">
        <v>40366</v>
      </c>
      <c r="G2499" s="11">
        <v>9527.4</v>
      </c>
      <c r="H2499" s="11">
        <v>9527.4</v>
      </c>
      <c r="I2499" s="4" t="s">
        <v>1752</v>
      </c>
      <c r="J2499" s="4" t="s">
        <v>1753</v>
      </c>
      <c r="K2499" s="11">
        <v>0</v>
      </c>
      <c r="L2499" s="4"/>
      <c r="M2499" s="4"/>
      <c r="N2499" s="11">
        <v>0</v>
      </c>
      <c r="O2499" s="4"/>
      <c r="P2499" s="4"/>
      <c r="Q2499" s="11">
        <v>0</v>
      </c>
      <c r="R2499" s="4"/>
      <c r="S2499" s="12"/>
    </row>
    <row r="2500" spans="1:19" x14ac:dyDescent="0.25">
      <c r="A2500" s="9" t="s">
        <v>749</v>
      </c>
      <c r="B2500" s="9" t="s">
        <v>749</v>
      </c>
      <c r="C2500" s="4">
        <v>201004627</v>
      </c>
      <c r="D2500" s="4"/>
      <c r="E2500" s="4" t="str">
        <f>"092702010"</f>
        <v>092702010</v>
      </c>
      <c r="F2500" s="10">
        <v>40373</v>
      </c>
      <c r="G2500" s="11">
        <v>8833.5</v>
      </c>
      <c r="H2500" s="11">
        <v>8833.5</v>
      </c>
      <c r="I2500" s="4" t="s">
        <v>366</v>
      </c>
      <c r="J2500" s="4" t="s">
        <v>367</v>
      </c>
      <c r="K2500" s="11">
        <v>0</v>
      </c>
      <c r="L2500" s="4"/>
      <c r="M2500" s="4"/>
      <c r="N2500" s="11">
        <v>0</v>
      </c>
      <c r="O2500" s="4"/>
      <c r="P2500" s="4"/>
      <c r="Q2500" s="11">
        <v>0</v>
      </c>
      <c r="R2500" s="4"/>
      <c r="S2500" s="12"/>
    </row>
    <row r="2501" spans="1:19" x14ac:dyDescent="0.25">
      <c r="A2501" s="9" t="s">
        <v>749</v>
      </c>
      <c r="B2501" s="9" t="s">
        <v>749</v>
      </c>
      <c r="C2501" s="4">
        <v>201004691</v>
      </c>
      <c r="D2501" s="4" t="s">
        <v>2351</v>
      </c>
      <c r="E2501" s="4" t="str">
        <f>"100632010"</f>
        <v>100632010</v>
      </c>
      <c r="F2501" s="10">
        <v>40403</v>
      </c>
      <c r="G2501" s="11">
        <v>19000</v>
      </c>
      <c r="H2501" s="11">
        <v>19000</v>
      </c>
      <c r="I2501" s="4" t="s">
        <v>366</v>
      </c>
      <c r="J2501" s="4" t="s">
        <v>367</v>
      </c>
      <c r="K2501" s="11">
        <v>0</v>
      </c>
      <c r="L2501" s="4"/>
      <c r="M2501" s="4"/>
      <c r="N2501" s="11">
        <v>0</v>
      </c>
      <c r="O2501" s="4"/>
      <c r="P2501" s="4"/>
      <c r="Q2501" s="11">
        <v>0</v>
      </c>
      <c r="R2501" s="4"/>
      <c r="S2501" s="12"/>
    </row>
    <row r="2502" spans="1:19" x14ac:dyDescent="0.25">
      <c r="A2502" s="9" t="s">
        <v>749</v>
      </c>
      <c r="B2502" s="9" t="s">
        <v>749</v>
      </c>
      <c r="C2502" s="4">
        <v>201004734</v>
      </c>
      <c r="D2502" s="4"/>
      <c r="E2502" s="4" t="str">
        <f>"094622010"</f>
        <v>094622010</v>
      </c>
      <c r="F2502" s="10">
        <v>40381</v>
      </c>
      <c r="G2502" s="11">
        <v>3598</v>
      </c>
      <c r="H2502" s="11">
        <v>3598</v>
      </c>
      <c r="I2502" s="4" t="s">
        <v>366</v>
      </c>
      <c r="J2502" s="4" t="s">
        <v>367</v>
      </c>
      <c r="K2502" s="11">
        <v>0</v>
      </c>
      <c r="L2502" s="4"/>
      <c r="M2502" s="4"/>
      <c r="N2502" s="11">
        <v>0</v>
      </c>
      <c r="O2502" s="4"/>
      <c r="P2502" s="4"/>
      <c r="Q2502" s="11">
        <v>0</v>
      </c>
      <c r="R2502" s="4"/>
      <c r="S2502" s="12"/>
    </row>
    <row r="2503" spans="1:19" x14ac:dyDescent="0.25">
      <c r="A2503" s="9" t="s">
        <v>749</v>
      </c>
      <c r="B2503" s="9" t="s">
        <v>749</v>
      </c>
      <c r="C2503" s="4">
        <v>201004799</v>
      </c>
      <c r="D2503" s="4"/>
      <c r="E2503" s="4" t="str">
        <f>"095772010"</f>
        <v>095772010</v>
      </c>
      <c r="F2503" s="10">
        <v>40387</v>
      </c>
      <c r="G2503" s="11">
        <v>3126.8</v>
      </c>
      <c r="H2503" s="11">
        <v>3126.8</v>
      </c>
      <c r="I2503" s="4" t="s">
        <v>366</v>
      </c>
      <c r="J2503" s="4" t="s">
        <v>367</v>
      </c>
      <c r="K2503" s="11">
        <v>0</v>
      </c>
      <c r="L2503" s="4"/>
      <c r="M2503" s="4"/>
      <c r="N2503" s="11">
        <v>0</v>
      </c>
      <c r="O2503" s="4"/>
      <c r="P2503" s="4"/>
      <c r="Q2503" s="11">
        <v>0</v>
      </c>
      <c r="R2503" s="4"/>
      <c r="S2503" s="12"/>
    </row>
    <row r="2504" spans="1:19" x14ac:dyDescent="0.25">
      <c r="A2504" s="9" t="s">
        <v>749</v>
      </c>
      <c r="B2504" s="9" t="s">
        <v>749</v>
      </c>
      <c r="C2504" s="4">
        <v>201004891</v>
      </c>
      <c r="D2504" s="4" t="s">
        <v>2352</v>
      </c>
      <c r="E2504" s="4" t="str">
        <f>"099652010"</f>
        <v>099652010</v>
      </c>
      <c r="F2504" s="10">
        <v>40401</v>
      </c>
      <c r="G2504" s="11">
        <v>3136.71</v>
      </c>
      <c r="H2504" s="11">
        <v>3136.71</v>
      </c>
      <c r="I2504" s="4" t="s">
        <v>366</v>
      </c>
      <c r="J2504" s="4" t="s">
        <v>367</v>
      </c>
      <c r="K2504" s="11">
        <v>0</v>
      </c>
      <c r="L2504" s="4"/>
      <c r="M2504" s="4"/>
      <c r="N2504" s="11">
        <v>0</v>
      </c>
      <c r="O2504" s="4"/>
      <c r="P2504" s="4"/>
      <c r="Q2504" s="11">
        <v>0</v>
      </c>
      <c r="R2504" s="4"/>
      <c r="S2504" s="12"/>
    </row>
    <row r="2505" spans="1:19" x14ac:dyDescent="0.25">
      <c r="A2505" s="9" t="s">
        <v>749</v>
      </c>
      <c r="B2505" s="9" t="s">
        <v>749</v>
      </c>
      <c r="C2505" s="4">
        <v>201005261</v>
      </c>
      <c r="D2505" s="4"/>
      <c r="E2505" s="4" t="str">
        <f>"105792010"</f>
        <v>105792010</v>
      </c>
      <c r="F2505" s="10">
        <v>40416</v>
      </c>
      <c r="G2505" s="11">
        <v>11946.01</v>
      </c>
      <c r="H2505" s="11">
        <v>11946.01</v>
      </c>
      <c r="I2505" s="4" t="s">
        <v>366</v>
      </c>
      <c r="J2505" s="4" t="s">
        <v>367</v>
      </c>
      <c r="K2505" s="11">
        <v>0</v>
      </c>
      <c r="L2505" s="4"/>
      <c r="M2505" s="4"/>
      <c r="N2505" s="11">
        <v>0</v>
      </c>
      <c r="O2505" s="4"/>
      <c r="P2505" s="4"/>
      <c r="Q2505" s="11">
        <v>0</v>
      </c>
      <c r="R2505" s="4"/>
      <c r="S2505" s="12"/>
    </row>
    <row r="2506" spans="1:19" x14ac:dyDescent="0.25">
      <c r="A2506" s="9" t="s">
        <v>749</v>
      </c>
      <c r="B2506" s="9" t="s">
        <v>749</v>
      </c>
      <c r="C2506" s="4">
        <v>201005449</v>
      </c>
      <c r="D2506" s="4" t="s">
        <v>2353</v>
      </c>
      <c r="E2506" s="4" t="str">
        <f>"109372010"</f>
        <v>109372010</v>
      </c>
      <c r="F2506" s="10">
        <v>40429</v>
      </c>
      <c r="G2506" s="11">
        <v>5000</v>
      </c>
      <c r="H2506" s="11">
        <v>5000</v>
      </c>
      <c r="I2506" s="4" t="s">
        <v>366</v>
      </c>
      <c r="J2506" s="4" t="s">
        <v>367</v>
      </c>
      <c r="K2506" s="11">
        <v>0</v>
      </c>
      <c r="L2506" s="4"/>
      <c r="M2506" s="4"/>
      <c r="N2506" s="11">
        <v>0</v>
      </c>
      <c r="O2506" s="4"/>
      <c r="P2506" s="4"/>
      <c r="Q2506" s="11">
        <v>0</v>
      </c>
      <c r="R2506" s="4"/>
      <c r="S2506" s="12"/>
    </row>
    <row r="2507" spans="1:19" x14ac:dyDescent="0.25">
      <c r="A2507" s="9" t="s">
        <v>749</v>
      </c>
      <c r="B2507" s="9" t="s">
        <v>749</v>
      </c>
      <c r="C2507" s="4">
        <v>201005466</v>
      </c>
      <c r="D2507" s="4"/>
      <c r="E2507" s="4" t="str">
        <f>"110092010"</f>
        <v>110092010</v>
      </c>
      <c r="F2507" s="10">
        <v>40431</v>
      </c>
      <c r="G2507" s="11">
        <v>3517.6</v>
      </c>
      <c r="H2507" s="11">
        <v>3517.6</v>
      </c>
      <c r="I2507" s="4" t="s">
        <v>366</v>
      </c>
      <c r="J2507" s="4" t="s">
        <v>367</v>
      </c>
      <c r="K2507" s="11">
        <v>0</v>
      </c>
      <c r="L2507" s="4"/>
      <c r="M2507" s="4"/>
      <c r="N2507" s="11">
        <v>0</v>
      </c>
      <c r="O2507" s="4"/>
      <c r="P2507" s="4"/>
      <c r="Q2507" s="11">
        <v>0</v>
      </c>
      <c r="R2507" s="4"/>
      <c r="S2507" s="12"/>
    </row>
    <row r="2508" spans="1:19" x14ac:dyDescent="0.25">
      <c r="A2508" s="9" t="s">
        <v>749</v>
      </c>
      <c r="B2508" s="9" t="s">
        <v>749</v>
      </c>
      <c r="C2508" s="4">
        <v>201005497</v>
      </c>
      <c r="D2508" s="4"/>
      <c r="E2508" s="4" t="str">
        <f>"110812010"</f>
        <v>110812010</v>
      </c>
      <c r="F2508" s="10">
        <v>40435</v>
      </c>
      <c r="G2508" s="11">
        <v>3768.08</v>
      </c>
      <c r="H2508" s="11">
        <v>3768.08</v>
      </c>
      <c r="I2508" s="4" t="s">
        <v>366</v>
      </c>
      <c r="J2508" s="4" t="s">
        <v>367</v>
      </c>
      <c r="K2508" s="11">
        <v>0</v>
      </c>
      <c r="L2508" s="4"/>
      <c r="M2508" s="4"/>
      <c r="N2508" s="11">
        <v>0</v>
      </c>
      <c r="O2508" s="4"/>
      <c r="P2508" s="4"/>
      <c r="Q2508" s="11">
        <v>0</v>
      </c>
      <c r="R2508" s="4"/>
      <c r="S2508" s="12"/>
    </row>
    <row r="2509" spans="1:19" x14ac:dyDescent="0.25">
      <c r="A2509" s="9" t="s">
        <v>749</v>
      </c>
      <c r="B2509" s="9" t="s">
        <v>749</v>
      </c>
      <c r="C2509" s="4">
        <v>201005597</v>
      </c>
      <c r="D2509" s="4"/>
      <c r="E2509" s="4" t="str">
        <f>"112682010"</f>
        <v>112682010</v>
      </c>
      <c r="F2509" s="10">
        <v>40443</v>
      </c>
      <c r="G2509" s="11">
        <v>2950.77</v>
      </c>
      <c r="H2509" s="11">
        <v>2950.77</v>
      </c>
      <c r="I2509" s="4" t="s">
        <v>366</v>
      </c>
      <c r="J2509" s="4" t="s">
        <v>367</v>
      </c>
      <c r="K2509" s="11">
        <v>0</v>
      </c>
      <c r="L2509" s="4"/>
      <c r="M2509" s="4"/>
      <c r="N2509" s="11">
        <v>0</v>
      </c>
      <c r="O2509" s="4"/>
      <c r="P2509" s="4"/>
      <c r="Q2509" s="11">
        <v>0</v>
      </c>
      <c r="R2509" s="4"/>
      <c r="S2509" s="12"/>
    </row>
    <row r="2510" spans="1:19" x14ac:dyDescent="0.25">
      <c r="A2510" s="9" t="s">
        <v>749</v>
      </c>
      <c r="B2510" s="9" t="s">
        <v>749</v>
      </c>
      <c r="C2510" s="4">
        <v>201005660</v>
      </c>
      <c r="D2510" s="4"/>
      <c r="E2510" s="4" t="str">
        <f>"112142010"</f>
        <v>112142010</v>
      </c>
      <c r="F2510" s="10">
        <v>40443</v>
      </c>
      <c r="G2510" s="11">
        <v>3950</v>
      </c>
      <c r="H2510" s="11">
        <v>3950</v>
      </c>
      <c r="I2510" s="4" t="s">
        <v>366</v>
      </c>
      <c r="J2510" s="4" t="s">
        <v>367</v>
      </c>
      <c r="K2510" s="11">
        <v>0</v>
      </c>
      <c r="L2510" s="4"/>
      <c r="M2510" s="4"/>
      <c r="N2510" s="11">
        <v>0</v>
      </c>
      <c r="O2510" s="4"/>
      <c r="P2510" s="4"/>
      <c r="Q2510" s="11">
        <v>0</v>
      </c>
      <c r="R2510" s="4"/>
      <c r="S2510" s="12"/>
    </row>
    <row r="2511" spans="1:19" x14ac:dyDescent="0.25">
      <c r="A2511" s="9" t="s">
        <v>749</v>
      </c>
      <c r="B2511" s="9" t="s">
        <v>749</v>
      </c>
      <c r="C2511" s="4">
        <v>201005664</v>
      </c>
      <c r="D2511" s="4"/>
      <c r="E2511" s="4" t="str">
        <f>"112122010"</f>
        <v>112122010</v>
      </c>
      <c r="F2511" s="10">
        <v>40443</v>
      </c>
      <c r="G2511" s="11">
        <v>9312.26</v>
      </c>
      <c r="H2511" s="11">
        <v>9312.26</v>
      </c>
      <c r="I2511" s="4" t="s">
        <v>366</v>
      </c>
      <c r="J2511" s="4" t="s">
        <v>367</v>
      </c>
      <c r="K2511" s="11">
        <v>0</v>
      </c>
      <c r="L2511" s="4"/>
      <c r="M2511" s="4"/>
      <c r="N2511" s="11">
        <v>0</v>
      </c>
      <c r="O2511" s="4"/>
      <c r="P2511" s="4"/>
      <c r="Q2511" s="11">
        <v>0</v>
      </c>
      <c r="R2511" s="4"/>
      <c r="S2511" s="12"/>
    </row>
    <row r="2512" spans="1:19" x14ac:dyDescent="0.25">
      <c r="A2512" s="9" t="s">
        <v>749</v>
      </c>
      <c r="B2512" s="9" t="s">
        <v>749</v>
      </c>
      <c r="C2512" s="4">
        <v>201005721</v>
      </c>
      <c r="D2512" s="4"/>
      <c r="E2512" s="4" t="str">
        <f>"114692010"</f>
        <v>114692010</v>
      </c>
      <c r="F2512" s="10">
        <v>40449</v>
      </c>
      <c r="G2512" s="11">
        <v>3179.59</v>
      </c>
      <c r="H2512" s="11">
        <v>3179.59</v>
      </c>
      <c r="I2512" s="4" t="s">
        <v>366</v>
      </c>
      <c r="J2512" s="4" t="s">
        <v>367</v>
      </c>
      <c r="K2512" s="11">
        <v>0</v>
      </c>
      <c r="L2512" s="4"/>
      <c r="M2512" s="4"/>
      <c r="N2512" s="11">
        <v>0</v>
      </c>
      <c r="O2512" s="4"/>
      <c r="P2512" s="4"/>
      <c r="Q2512" s="11">
        <v>0</v>
      </c>
      <c r="R2512" s="4"/>
      <c r="S2512" s="12"/>
    </row>
    <row r="2513" spans="1:19" x14ac:dyDescent="0.25">
      <c r="A2513" s="9" t="s">
        <v>749</v>
      </c>
      <c r="B2513" s="9" t="s">
        <v>749</v>
      </c>
      <c r="C2513" s="4">
        <v>201005733</v>
      </c>
      <c r="D2513" s="4"/>
      <c r="E2513" s="4" t="str">
        <f>"114792010"</f>
        <v>114792010</v>
      </c>
      <c r="F2513" s="10">
        <v>40449</v>
      </c>
      <c r="G2513" s="11">
        <v>4540.47</v>
      </c>
      <c r="H2513" s="11">
        <v>4540.47</v>
      </c>
      <c r="I2513" s="4" t="s">
        <v>366</v>
      </c>
      <c r="J2513" s="4" t="s">
        <v>367</v>
      </c>
      <c r="K2513" s="11">
        <v>0</v>
      </c>
      <c r="L2513" s="4"/>
      <c r="M2513" s="4"/>
      <c r="N2513" s="11">
        <v>0</v>
      </c>
      <c r="O2513" s="4"/>
      <c r="P2513" s="4"/>
      <c r="Q2513" s="11">
        <v>0</v>
      </c>
      <c r="R2513" s="4"/>
      <c r="S2513" s="12"/>
    </row>
    <row r="2514" spans="1:19" x14ac:dyDescent="0.25">
      <c r="A2514" s="9" t="s">
        <v>749</v>
      </c>
      <c r="B2514" s="9" t="s">
        <v>749</v>
      </c>
      <c r="C2514" s="4">
        <v>201005765</v>
      </c>
      <c r="D2514" s="4" t="s">
        <v>2354</v>
      </c>
      <c r="E2514" s="4" t="str">
        <f>"114992010"</f>
        <v>114992010</v>
      </c>
      <c r="F2514" s="10">
        <v>40449</v>
      </c>
      <c r="G2514" s="11">
        <v>5926</v>
      </c>
      <c r="H2514" s="11">
        <v>5926</v>
      </c>
      <c r="I2514" s="4" t="s">
        <v>366</v>
      </c>
      <c r="J2514" s="4" t="s">
        <v>367</v>
      </c>
      <c r="K2514" s="11">
        <v>0</v>
      </c>
      <c r="L2514" s="4"/>
      <c r="M2514" s="4"/>
      <c r="N2514" s="11">
        <v>0</v>
      </c>
      <c r="O2514" s="4"/>
      <c r="P2514" s="4"/>
      <c r="Q2514" s="11">
        <v>0</v>
      </c>
      <c r="R2514" s="4"/>
      <c r="S2514" s="12"/>
    </row>
    <row r="2515" spans="1:19" x14ac:dyDescent="0.25">
      <c r="A2515" s="9" t="s">
        <v>766</v>
      </c>
      <c r="B2515" s="9" t="s">
        <v>766</v>
      </c>
      <c r="C2515" s="4">
        <v>201001040</v>
      </c>
      <c r="D2515" s="4"/>
      <c r="E2515" s="4" t="str">
        <f>"020962010"</f>
        <v>020962010</v>
      </c>
      <c r="F2515" s="10">
        <v>40162</v>
      </c>
      <c r="G2515" s="11">
        <v>5000</v>
      </c>
      <c r="H2515" s="11">
        <v>5000</v>
      </c>
      <c r="I2515" s="4" t="s">
        <v>54</v>
      </c>
      <c r="J2515" s="4" t="s">
        <v>55</v>
      </c>
      <c r="K2515" s="11">
        <v>0</v>
      </c>
      <c r="L2515" s="4"/>
      <c r="M2515" s="4"/>
      <c r="N2515" s="11">
        <v>0</v>
      </c>
      <c r="O2515" s="4"/>
      <c r="P2515" s="4"/>
      <c r="Q2515" s="11">
        <v>0</v>
      </c>
      <c r="R2515" s="4"/>
      <c r="S2515" s="12"/>
    </row>
    <row r="2516" spans="1:19" x14ac:dyDescent="0.25">
      <c r="A2516" s="9" t="s">
        <v>766</v>
      </c>
      <c r="B2516" s="9" t="s">
        <v>766</v>
      </c>
      <c r="C2516" s="4">
        <v>201001187</v>
      </c>
      <c r="D2516" s="4" t="s">
        <v>2355</v>
      </c>
      <c r="E2516" s="4" t="str">
        <f>"023112010"</f>
        <v>023112010</v>
      </c>
      <c r="F2516" s="10">
        <v>40165</v>
      </c>
      <c r="G2516" s="11">
        <v>25000</v>
      </c>
      <c r="H2516" s="11">
        <v>25000</v>
      </c>
      <c r="I2516" s="4" t="s">
        <v>931</v>
      </c>
      <c r="J2516" s="4" t="s">
        <v>932</v>
      </c>
      <c r="K2516" s="11">
        <v>0</v>
      </c>
      <c r="L2516" s="4"/>
      <c r="M2516" s="4"/>
      <c r="N2516" s="11">
        <v>0</v>
      </c>
      <c r="O2516" s="4"/>
      <c r="P2516" s="4"/>
      <c r="Q2516" s="11">
        <v>0</v>
      </c>
      <c r="R2516" s="4"/>
      <c r="S2516" s="12"/>
    </row>
    <row r="2517" spans="1:19" x14ac:dyDescent="0.25">
      <c r="A2517" s="9" t="s">
        <v>766</v>
      </c>
      <c r="B2517" s="9" t="s">
        <v>766</v>
      </c>
      <c r="C2517" s="4">
        <v>201002340</v>
      </c>
      <c r="D2517" s="4"/>
      <c r="E2517" s="4" t="str">
        <f>"046382010"</f>
        <v>046382010</v>
      </c>
      <c r="F2517" s="10">
        <v>40249</v>
      </c>
      <c r="G2517" s="11">
        <v>4079.52</v>
      </c>
      <c r="H2517" s="11">
        <v>4079.52</v>
      </c>
      <c r="I2517" s="4" t="s">
        <v>54</v>
      </c>
      <c r="J2517" s="4" t="s">
        <v>55</v>
      </c>
      <c r="K2517" s="11">
        <v>0</v>
      </c>
      <c r="L2517" s="4"/>
      <c r="M2517" s="4"/>
      <c r="N2517" s="11">
        <v>0</v>
      </c>
      <c r="O2517" s="4"/>
      <c r="P2517" s="4"/>
      <c r="Q2517" s="11">
        <v>0</v>
      </c>
      <c r="R2517" s="4"/>
      <c r="S2517" s="12"/>
    </row>
    <row r="2518" spans="1:19" x14ac:dyDescent="0.25">
      <c r="A2518" s="9" t="s">
        <v>766</v>
      </c>
      <c r="B2518" s="9" t="s">
        <v>766</v>
      </c>
      <c r="C2518" s="4">
        <v>201002547</v>
      </c>
      <c r="D2518" s="4" t="s">
        <v>2356</v>
      </c>
      <c r="E2518" s="4" t="str">
        <f>"050402010"</f>
        <v>050402010</v>
      </c>
      <c r="F2518" s="10">
        <v>40262</v>
      </c>
      <c r="G2518" s="11">
        <v>4600</v>
      </c>
      <c r="H2518" s="11">
        <v>4600</v>
      </c>
      <c r="I2518" s="4" t="s">
        <v>54</v>
      </c>
      <c r="J2518" s="4" t="s">
        <v>55</v>
      </c>
      <c r="K2518" s="11">
        <v>0</v>
      </c>
      <c r="L2518" s="4"/>
      <c r="M2518" s="4"/>
      <c r="N2518" s="11">
        <v>0</v>
      </c>
      <c r="O2518" s="4"/>
      <c r="P2518" s="4"/>
      <c r="Q2518" s="11">
        <v>0</v>
      </c>
      <c r="R2518" s="4"/>
      <c r="S2518" s="12"/>
    </row>
    <row r="2519" spans="1:19" x14ac:dyDescent="0.25">
      <c r="A2519" s="9" t="s">
        <v>766</v>
      </c>
      <c r="B2519" s="9" t="s">
        <v>766</v>
      </c>
      <c r="C2519" s="4">
        <v>201002901</v>
      </c>
      <c r="D2519" s="4"/>
      <c r="E2519" s="4" t="str">
        <f>"057022010"</f>
        <v>057022010</v>
      </c>
      <c r="F2519" s="10">
        <v>40281</v>
      </c>
      <c r="G2519" s="11">
        <v>2750</v>
      </c>
      <c r="H2519" s="11">
        <v>2750</v>
      </c>
      <c r="I2519" s="4" t="s">
        <v>54</v>
      </c>
      <c r="J2519" s="4" t="s">
        <v>55</v>
      </c>
      <c r="K2519" s="11">
        <v>0</v>
      </c>
      <c r="L2519" s="4"/>
      <c r="M2519" s="4"/>
      <c r="N2519" s="11">
        <v>0</v>
      </c>
      <c r="O2519" s="4"/>
      <c r="P2519" s="4"/>
      <c r="Q2519" s="11">
        <v>0</v>
      </c>
      <c r="R2519" s="4"/>
      <c r="S2519" s="12"/>
    </row>
    <row r="2520" spans="1:19" x14ac:dyDescent="0.25">
      <c r="A2520" s="9" t="s">
        <v>766</v>
      </c>
      <c r="B2520" s="9" t="s">
        <v>766</v>
      </c>
      <c r="C2520" s="4">
        <v>201004683</v>
      </c>
      <c r="D2520" s="4"/>
      <c r="E2520" s="4" t="str">
        <f>"093382010"</f>
        <v>093382010</v>
      </c>
      <c r="F2520" s="10">
        <v>40374</v>
      </c>
      <c r="G2520" s="11">
        <v>3959</v>
      </c>
      <c r="H2520" s="11">
        <v>3959</v>
      </c>
      <c r="I2520" s="4" t="s">
        <v>54</v>
      </c>
      <c r="J2520" s="4" t="s">
        <v>55</v>
      </c>
      <c r="K2520" s="11">
        <v>0</v>
      </c>
      <c r="L2520" s="4"/>
      <c r="M2520" s="4"/>
      <c r="N2520" s="11">
        <v>0</v>
      </c>
      <c r="O2520" s="4"/>
      <c r="P2520" s="4"/>
      <c r="Q2520" s="11">
        <v>0</v>
      </c>
      <c r="R2520" s="4"/>
      <c r="S2520" s="12"/>
    </row>
    <row r="2521" spans="1:19" x14ac:dyDescent="0.25">
      <c r="A2521" s="9" t="s">
        <v>766</v>
      </c>
      <c r="B2521" s="9" t="s">
        <v>766</v>
      </c>
      <c r="C2521" s="4">
        <v>201005270</v>
      </c>
      <c r="D2521" s="4"/>
      <c r="E2521" s="4" t="str">
        <f>"105952010"</f>
        <v>105952010</v>
      </c>
      <c r="F2521" s="10">
        <v>40416</v>
      </c>
      <c r="G2521" s="11">
        <v>7000</v>
      </c>
      <c r="H2521" s="11">
        <v>7000</v>
      </c>
      <c r="I2521" s="4" t="s">
        <v>931</v>
      </c>
      <c r="J2521" s="4" t="s">
        <v>932</v>
      </c>
      <c r="K2521" s="11">
        <v>0</v>
      </c>
      <c r="L2521" s="4"/>
      <c r="M2521" s="4"/>
      <c r="N2521" s="11">
        <v>0</v>
      </c>
      <c r="O2521" s="4"/>
      <c r="P2521" s="4"/>
      <c r="Q2521" s="11">
        <v>0</v>
      </c>
      <c r="R2521" s="4"/>
      <c r="S2521" s="12"/>
    </row>
    <row r="2522" spans="1:19" x14ac:dyDescent="0.25">
      <c r="A2522" s="9" t="s">
        <v>766</v>
      </c>
      <c r="B2522" s="9" t="s">
        <v>766</v>
      </c>
      <c r="C2522" s="4">
        <v>201005270</v>
      </c>
      <c r="D2522" s="4"/>
      <c r="E2522" s="4" t="str">
        <f>"105972010"</f>
        <v>105972010</v>
      </c>
      <c r="F2522" s="10">
        <v>40415</v>
      </c>
      <c r="G2522" s="11">
        <v>460</v>
      </c>
      <c r="H2522" s="11">
        <v>460</v>
      </c>
      <c r="I2522" s="4" t="s">
        <v>931</v>
      </c>
      <c r="J2522" s="4" t="s">
        <v>932</v>
      </c>
      <c r="K2522" s="11">
        <v>0</v>
      </c>
      <c r="L2522" s="4"/>
      <c r="M2522" s="4"/>
      <c r="N2522" s="11">
        <v>0</v>
      </c>
      <c r="O2522" s="4"/>
      <c r="P2522" s="4"/>
      <c r="Q2522" s="11">
        <v>0</v>
      </c>
      <c r="R2522" s="4"/>
      <c r="S2522" s="12"/>
    </row>
    <row r="2523" spans="1:19" x14ac:dyDescent="0.25">
      <c r="A2523" s="9" t="s">
        <v>766</v>
      </c>
      <c r="B2523" s="9" t="s">
        <v>766</v>
      </c>
      <c r="C2523" s="4">
        <v>201005688</v>
      </c>
      <c r="D2523" s="4"/>
      <c r="E2523" s="4" t="str">
        <f>"114352010"</f>
        <v>114352010</v>
      </c>
      <c r="F2523" s="10">
        <v>40449</v>
      </c>
      <c r="G2523" s="11">
        <v>4018</v>
      </c>
      <c r="H2523" s="11">
        <v>4018</v>
      </c>
      <c r="I2523" s="4" t="s">
        <v>366</v>
      </c>
      <c r="J2523" s="4" t="s">
        <v>367</v>
      </c>
      <c r="K2523" s="11">
        <v>0</v>
      </c>
      <c r="L2523" s="4"/>
      <c r="M2523" s="4"/>
      <c r="N2523" s="11">
        <v>0</v>
      </c>
      <c r="O2523" s="4"/>
      <c r="P2523" s="4"/>
      <c r="Q2523" s="11">
        <v>0</v>
      </c>
      <c r="R2523" s="4"/>
      <c r="S2523" s="12"/>
    </row>
    <row r="2524" spans="1:19" x14ac:dyDescent="0.25">
      <c r="A2524" s="9" t="s">
        <v>779</v>
      </c>
      <c r="B2524" s="9" t="s">
        <v>779</v>
      </c>
      <c r="C2524" s="4">
        <v>200905621</v>
      </c>
      <c r="D2524" s="4"/>
      <c r="E2524" s="4" t="str">
        <f>"087642009"</f>
        <v>087642009</v>
      </c>
      <c r="F2524" s="10">
        <v>40092</v>
      </c>
      <c r="G2524" s="11">
        <v>2509.4499999999998</v>
      </c>
      <c r="H2524" s="11">
        <v>2509.4499999999998</v>
      </c>
      <c r="I2524" s="4" t="s">
        <v>366</v>
      </c>
      <c r="J2524" s="4" t="s">
        <v>367</v>
      </c>
      <c r="K2524" s="11">
        <v>0</v>
      </c>
      <c r="L2524" s="4"/>
      <c r="M2524" s="4"/>
      <c r="N2524" s="11">
        <v>0</v>
      </c>
      <c r="O2524" s="4"/>
      <c r="P2524" s="4"/>
      <c r="Q2524" s="11">
        <v>0</v>
      </c>
      <c r="R2524" s="4"/>
      <c r="S2524" s="12"/>
    </row>
    <row r="2525" spans="1:19" x14ac:dyDescent="0.25">
      <c r="A2525" s="9" t="s">
        <v>779</v>
      </c>
      <c r="B2525" s="9" t="s">
        <v>779</v>
      </c>
      <c r="C2525" s="4">
        <v>200905884</v>
      </c>
      <c r="D2525" s="4"/>
      <c r="E2525" s="4" t="str">
        <f>"087662009"</f>
        <v>087662009</v>
      </c>
      <c r="F2525" s="10">
        <v>40092</v>
      </c>
      <c r="G2525" s="11">
        <v>2525.61</v>
      </c>
      <c r="H2525" s="11">
        <v>2525.61</v>
      </c>
      <c r="I2525" s="4" t="s">
        <v>366</v>
      </c>
      <c r="J2525" s="4" t="s">
        <v>367</v>
      </c>
      <c r="K2525" s="11">
        <v>0</v>
      </c>
      <c r="L2525" s="4"/>
      <c r="M2525" s="4"/>
      <c r="N2525" s="11">
        <v>0</v>
      </c>
      <c r="O2525" s="4"/>
      <c r="P2525" s="4"/>
      <c r="Q2525" s="11">
        <v>0</v>
      </c>
      <c r="R2525" s="4"/>
      <c r="S2525" s="12"/>
    </row>
    <row r="2526" spans="1:19" x14ac:dyDescent="0.25">
      <c r="A2526" s="9" t="s">
        <v>779</v>
      </c>
      <c r="B2526" s="9" t="s">
        <v>779</v>
      </c>
      <c r="C2526" s="4">
        <v>200905925</v>
      </c>
      <c r="D2526" s="4" t="s">
        <v>2357</v>
      </c>
      <c r="E2526" s="4" t="str">
        <f>"087682009"</f>
        <v>087682009</v>
      </c>
      <c r="F2526" s="10">
        <v>40092</v>
      </c>
      <c r="G2526" s="11">
        <v>18000</v>
      </c>
      <c r="H2526" s="11">
        <v>18000</v>
      </c>
      <c r="I2526" s="4" t="s">
        <v>366</v>
      </c>
      <c r="J2526" s="4" t="s">
        <v>367</v>
      </c>
      <c r="K2526" s="11">
        <v>0</v>
      </c>
      <c r="L2526" s="4"/>
      <c r="M2526" s="4"/>
      <c r="N2526" s="11">
        <v>0</v>
      </c>
      <c r="O2526" s="4"/>
      <c r="P2526" s="4"/>
      <c r="Q2526" s="11">
        <v>0</v>
      </c>
      <c r="R2526" s="4"/>
      <c r="S2526" s="12"/>
    </row>
    <row r="2527" spans="1:19" x14ac:dyDescent="0.25">
      <c r="A2527" s="9" t="s">
        <v>779</v>
      </c>
      <c r="B2527" s="9" t="s">
        <v>779</v>
      </c>
      <c r="C2527" s="4">
        <v>200905928</v>
      </c>
      <c r="D2527" s="4"/>
      <c r="E2527" s="4" t="str">
        <f>"087702009"</f>
        <v>087702009</v>
      </c>
      <c r="F2527" s="10">
        <v>40092</v>
      </c>
      <c r="G2527" s="11">
        <v>3776.22</v>
      </c>
      <c r="H2527" s="11">
        <v>3776.22</v>
      </c>
      <c r="I2527" s="4" t="s">
        <v>366</v>
      </c>
      <c r="J2527" s="4" t="s">
        <v>367</v>
      </c>
      <c r="K2527" s="11">
        <v>0</v>
      </c>
      <c r="L2527" s="4"/>
      <c r="M2527" s="4"/>
      <c r="N2527" s="11">
        <v>0</v>
      </c>
      <c r="O2527" s="4"/>
      <c r="P2527" s="4"/>
      <c r="Q2527" s="11">
        <v>0</v>
      </c>
      <c r="R2527" s="4"/>
      <c r="S2527" s="12"/>
    </row>
    <row r="2528" spans="1:19" x14ac:dyDescent="0.25">
      <c r="A2528" s="9" t="s">
        <v>779</v>
      </c>
      <c r="B2528" s="9" t="s">
        <v>779</v>
      </c>
      <c r="C2528" s="4">
        <v>200905932</v>
      </c>
      <c r="D2528" s="4" t="s">
        <v>2358</v>
      </c>
      <c r="E2528" s="4" t="str">
        <f>"087812009"</f>
        <v>087812009</v>
      </c>
      <c r="F2528" s="10">
        <v>40094</v>
      </c>
      <c r="G2528" s="11">
        <v>11000</v>
      </c>
      <c r="H2528" s="11">
        <v>11000</v>
      </c>
      <c r="I2528" s="4" t="s">
        <v>366</v>
      </c>
      <c r="J2528" s="4" t="s">
        <v>367</v>
      </c>
      <c r="K2528" s="11">
        <v>0</v>
      </c>
      <c r="L2528" s="4"/>
      <c r="M2528" s="4"/>
      <c r="N2528" s="11">
        <v>0</v>
      </c>
      <c r="O2528" s="4"/>
      <c r="P2528" s="4"/>
      <c r="Q2528" s="11">
        <v>0</v>
      </c>
      <c r="R2528" s="4"/>
      <c r="S2528" s="12"/>
    </row>
    <row r="2529" spans="1:19" x14ac:dyDescent="0.25">
      <c r="A2529" s="9" t="s">
        <v>779</v>
      </c>
      <c r="B2529" s="9" t="s">
        <v>779</v>
      </c>
      <c r="C2529" s="4">
        <v>200905933</v>
      </c>
      <c r="D2529" s="4" t="s">
        <v>2359</v>
      </c>
      <c r="E2529" s="4" t="str">
        <f>"088472009"</f>
        <v>088472009</v>
      </c>
      <c r="F2529" s="10">
        <v>40164</v>
      </c>
      <c r="G2529" s="11">
        <v>5000</v>
      </c>
      <c r="H2529" s="11">
        <v>5000</v>
      </c>
      <c r="I2529" s="4" t="s">
        <v>366</v>
      </c>
      <c r="J2529" s="4" t="s">
        <v>367</v>
      </c>
      <c r="K2529" s="11">
        <v>0</v>
      </c>
      <c r="L2529" s="4"/>
      <c r="M2529" s="4"/>
      <c r="N2529" s="11">
        <v>0</v>
      </c>
      <c r="O2529" s="4"/>
      <c r="P2529" s="4"/>
      <c r="Q2529" s="11">
        <v>0</v>
      </c>
      <c r="R2529" s="4"/>
      <c r="S2529" s="12"/>
    </row>
    <row r="2530" spans="1:19" x14ac:dyDescent="0.25">
      <c r="A2530" s="9" t="s">
        <v>779</v>
      </c>
      <c r="B2530" s="9" t="s">
        <v>779</v>
      </c>
      <c r="C2530" s="4">
        <v>200905937</v>
      </c>
      <c r="D2530" s="4"/>
      <c r="E2530" s="4" t="str">
        <f>"088452009"</f>
        <v>088452009</v>
      </c>
      <c r="F2530" s="10">
        <v>40150</v>
      </c>
      <c r="G2530" s="11">
        <v>4000</v>
      </c>
      <c r="H2530" s="11">
        <v>4000</v>
      </c>
      <c r="I2530" s="4" t="s">
        <v>366</v>
      </c>
      <c r="J2530" s="4" t="s">
        <v>367</v>
      </c>
      <c r="K2530" s="11">
        <v>0</v>
      </c>
      <c r="L2530" s="4"/>
      <c r="M2530" s="4"/>
      <c r="N2530" s="11">
        <v>0</v>
      </c>
      <c r="O2530" s="4"/>
      <c r="P2530" s="4"/>
      <c r="Q2530" s="11">
        <v>0</v>
      </c>
      <c r="R2530" s="4"/>
      <c r="S2530" s="12"/>
    </row>
    <row r="2531" spans="1:19" x14ac:dyDescent="0.25">
      <c r="A2531" s="9" t="s">
        <v>779</v>
      </c>
      <c r="B2531" s="9" t="s">
        <v>779</v>
      </c>
      <c r="C2531" s="4">
        <v>200905939</v>
      </c>
      <c r="D2531" s="4" t="s">
        <v>2360</v>
      </c>
      <c r="E2531" s="4" t="str">
        <f>"087932009"</f>
        <v>087932009</v>
      </c>
      <c r="F2531" s="10">
        <v>40094</v>
      </c>
      <c r="G2531" s="11">
        <v>2800</v>
      </c>
      <c r="H2531" s="11">
        <v>2800</v>
      </c>
      <c r="I2531" s="4" t="s">
        <v>366</v>
      </c>
      <c r="J2531" s="4" t="s">
        <v>367</v>
      </c>
      <c r="K2531" s="11">
        <v>0</v>
      </c>
      <c r="L2531" s="4"/>
      <c r="M2531" s="4"/>
      <c r="N2531" s="11">
        <v>0</v>
      </c>
      <c r="O2531" s="4"/>
      <c r="P2531" s="4"/>
      <c r="Q2531" s="11">
        <v>0</v>
      </c>
      <c r="R2531" s="4"/>
      <c r="S2531" s="12"/>
    </row>
    <row r="2532" spans="1:19" x14ac:dyDescent="0.25">
      <c r="A2532" s="9" t="s">
        <v>779</v>
      </c>
      <c r="B2532" s="9" t="s">
        <v>779</v>
      </c>
      <c r="C2532" s="4">
        <v>201000568</v>
      </c>
      <c r="D2532" s="4"/>
      <c r="E2532" s="4" t="str">
        <f>"011772010"</f>
        <v>011772010</v>
      </c>
      <c r="F2532" s="10">
        <v>40133</v>
      </c>
      <c r="G2532" s="11">
        <v>3794.38</v>
      </c>
      <c r="H2532" s="11">
        <v>3794.38</v>
      </c>
      <c r="I2532" s="4" t="s">
        <v>366</v>
      </c>
      <c r="J2532" s="4" t="s">
        <v>367</v>
      </c>
      <c r="K2532" s="11">
        <v>0</v>
      </c>
      <c r="L2532" s="4"/>
      <c r="M2532" s="4"/>
      <c r="N2532" s="11">
        <v>0</v>
      </c>
      <c r="O2532" s="4"/>
      <c r="P2532" s="4"/>
      <c r="Q2532" s="11">
        <v>0</v>
      </c>
      <c r="R2532" s="4"/>
      <c r="S2532" s="12"/>
    </row>
    <row r="2533" spans="1:19" x14ac:dyDescent="0.25">
      <c r="A2533" s="9" t="s">
        <v>779</v>
      </c>
      <c r="B2533" s="9" t="s">
        <v>779</v>
      </c>
      <c r="C2533" s="4">
        <v>201000575</v>
      </c>
      <c r="D2533" s="4"/>
      <c r="E2533" s="4" t="str">
        <f>"030862010"</f>
        <v>030862010</v>
      </c>
      <c r="F2533" s="10">
        <v>40193</v>
      </c>
      <c r="G2533" s="11">
        <v>3000</v>
      </c>
      <c r="H2533" s="11">
        <v>3000</v>
      </c>
      <c r="I2533" s="4" t="s">
        <v>366</v>
      </c>
      <c r="J2533" s="4" t="s">
        <v>367</v>
      </c>
      <c r="K2533" s="11">
        <v>0</v>
      </c>
      <c r="L2533" s="4"/>
      <c r="M2533" s="4"/>
      <c r="N2533" s="11">
        <v>0</v>
      </c>
      <c r="O2533" s="4"/>
      <c r="P2533" s="4"/>
      <c r="Q2533" s="11">
        <v>0</v>
      </c>
      <c r="R2533" s="4"/>
      <c r="S2533" s="12"/>
    </row>
    <row r="2534" spans="1:19" x14ac:dyDescent="0.25">
      <c r="A2534" s="9" t="s">
        <v>779</v>
      </c>
      <c r="B2534" s="9" t="s">
        <v>779</v>
      </c>
      <c r="C2534" s="4">
        <v>201000579</v>
      </c>
      <c r="D2534" s="4" t="s">
        <v>2361</v>
      </c>
      <c r="E2534" s="4" t="str">
        <f>"022692010"</f>
        <v>022692010</v>
      </c>
      <c r="F2534" s="10">
        <v>40164</v>
      </c>
      <c r="G2534" s="11">
        <v>4888.13</v>
      </c>
      <c r="H2534" s="11">
        <v>4888.13</v>
      </c>
      <c r="I2534" s="4" t="s">
        <v>366</v>
      </c>
      <c r="J2534" s="4" t="s">
        <v>367</v>
      </c>
      <c r="K2534" s="11">
        <v>0</v>
      </c>
      <c r="L2534" s="4"/>
      <c r="M2534" s="4"/>
      <c r="N2534" s="11">
        <v>0</v>
      </c>
      <c r="O2534" s="4"/>
      <c r="P2534" s="4"/>
      <c r="Q2534" s="11">
        <v>0</v>
      </c>
      <c r="R2534" s="4"/>
      <c r="S2534" s="12"/>
    </row>
    <row r="2535" spans="1:19" x14ac:dyDescent="0.25">
      <c r="A2535" s="9" t="s">
        <v>779</v>
      </c>
      <c r="B2535" s="9" t="s">
        <v>779</v>
      </c>
      <c r="C2535" s="4">
        <v>201000581</v>
      </c>
      <c r="D2535" s="4"/>
      <c r="E2535" s="4" t="str">
        <f>"022632010"</f>
        <v>022632010</v>
      </c>
      <c r="F2535" s="10">
        <v>40164</v>
      </c>
      <c r="G2535" s="11">
        <v>3204.05</v>
      </c>
      <c r="H2535" s="11">
        <v>3204.05</v>
      </c>
      <c r="I2535" s="4" t="s">
        <v>366</v>
      </c>
      <c r="J2535" s="4" t="s">
        <v>367</v>
      </c>
      <c r="K2535" s="11">
        <v>0</v>
      </c>
      <c r="L2535" s="4"/>
      <c r="M2535" s="4"/>
      <c r="N2535" s="11">
        <v>0</v>
      </c>
      <c r="O2535" s="4"/>
      <c r="P2535" s="4"/>
      <c r="Q2535" s="11">
        <v>0</v>
      </c>
      <c r="R2535" s="4"/>
      <c r="S2535" s="12"/>
    </row>
    <row r="2536" spans="1:19" x14ac:dyDescent="0.25">
      <c r="A2536" s="9" t="s">
        <v>779</v>
      </c>
      <c r="B2536" s="9" t="s">
        <v>779</v>
      </c>
      <c r="C2536" s="4">
        <v>201000582</v>
      </c>
      <c r="D2536" s="4"/>
      <c r="E2536" s="4" t="str">
        <f>"022352010"</f>
        <v>022352010</v>
      </c>
      <c r="F2536" s="10">
        <v>40164</v>
      </c>
      <c r="G2536" s="11">
        <v>3100</v>
      </c>
      <c r="H2536" s="11">
        <v>3100</v>
      </c>
      <c r="I2536" s="4" t="s">
        <v>366</v>
      </c>
      <c r="J2536" s="4" t="s">
        <v>367</v>
      </c>
      <c r="K2536" s="11">
        <v>0</v>
      </c>
      <c r="L2536" s="4"/>
      <c r="M2536" s="4"/>
      <c r="N2536" s="11">
        <v>0</v>
      </c>
      <c r="O2536" s="4"/>
      <c r="P2536" s="4"/>
      <c r="Q2536" s="11">
        <v>0</v>
      </c>
      <c r="R2536" s="4"/>
      <c r="S2536" s="12"/>
    </row>
    <row r="2537" spans="1:19" x14ac:dyDescent="0.25">
      <c r="A2537" s="9" t="s">
        <v>779</v>
      </c>
      <c r="B2537" s="9" t="s">
        <v>779</v>
      </c>
      <c r="C2537" s="4">
        <v>201000583</v>
      </c>
      <c r="D2537" s="4"/>
      <c r="E2537" s="4" t="str">
        <f>"022252010"</f>
        <v>022252010</v>
      </c>
      <c r="F2537" s="10">
        <v>40164</v>
      </c>
      <c r="G2537" s="11">
        <v>3400</v>
      </c>
      <c r="H2537" s="11">
        <v>3400</v>
      </c>
      <c r="I2537" s="4" t="s">
        <v>366</v>
      </c>
      <c r="J2537" s="4" t="s">
        <v>367</v>
      </c>
      <c r="K2537" s="11">
        <v>0</v>
      </c>
      <c r="L2537" s="4"/>
      <c r="M2537" s="4"/>
      <c r="N2537" s="11">
        <v>0</v>
      </c>
      <c r="O2537" s="4"/>
      <c r="P2537" s="4"/>
      <c r="Q2537" s="11">
        <v>0</v>
      </c>
      <c r="R2537" s="4"/>
      <c r="S2537" s="12"/>
    </row>
    <row r="2538" spans="1:19" x14ac:dyDescent="0.25">
      <c r="A2538" s="9" t="s">
        <v>779</v>
      </c>
      <c r="B2538" s="9" t="s">
        <v>779</v>
      </c>
      <c r="C2538" s="4">
        <v>201001720</v>
      </c>
      <c r="D2538" s="4"/>
      <c r="E2538" s="4" t="str">
        <f>"037782010"</f>
        <v>037782010</v>
      </c>
      <c r="F2538" s="10">
        <v>40226</v>
      </c>
      <c r="G2538" s="11">
        <v>2642.45</v>
      </c>
      <c r="H2538" s="11">
        <v>2642.45</v>
      </c>
      <c r="I2538" s="4" t="s">
        <v>366</v>
      </c>
      <c r="J2538" s="4" t="s">
        <v>367</v>
      </c>
      <c r="K2538" s="11">
        <v>0</v>
      </c>
      <c r="L2538" s="4"/>
      <c r="M2538" s="4"/>
      <c r="N2538" s="11">
        <v>0</v>
      </c>
      <c r="O2538" s="4"/>
      <c r="P2538" s="4"/>
      <c r="Q2538" s="11">
        <v>0</v>
      </c>
      <c r="R2538" s="4"/>
      <c r="S2538" s="12"/>
    </row>
    <row r="2539" spans="1:19" x14ac:dyDescent="0.25">
      <c r="A2539" s="9" t="s">
        <v>779</v>
      </c>
      <c r="B2539" s="9" t="s">
        <v>779</v>
      </c>
      <c r="C2539" s="4">
        <v>201001721</v>
      </c>
      <c r="D2539" s="4"/>
      <c r="E2539" s="4" t="str">
        <f>"037742010"</f>
        <v>037742010</v>
      </c>
      <c r="F2539" s="10">
        <v>40226</v>
      </c>
      <c r="G2539" s="11">
        <v>2900</v>
      </c>
      <c r="H2539" s="11">
        <v>2900</v>
      </c>
      <c r="I2539" s="4" t="s">
        <v>366</v>
      </c>
      <c r="J2539" s="4" t="s">
        <v>367</v>
      </c>
      <c r="K2539" s="11">
        <v>0</v>
      </c>
      <c r="L2539" s="4"/>
      <c r="M2539" s="4"/>
      <c r="N2539" s="11">
        <v>0</v>
      </c>
      <c r="O2539" s="4"/>
      <c r="P2539" s="4"/>
      <c r="Q2539" s="11">
        <v>0</v>
      </c>
      <c r="R2539" s="4"/>
      <c r="S2539" s="12"/>
    </row>
    <row r="2540" spans="1:19" x14ac:dyDescent="0.25">
      <c r="A2540" s="9" t="s">
        <v>779</v>
      </c>
      <c r="B2540" s="9" t="s">
        <v>779</v>
      </c>
      <c r="C2540" s="4">
        <v>201001722</v>
      </c>
      <c r="D2540" s="4"/>
      <c r="E2540" s="4" t="str">
        <f>"037762010"</f>
        <v>037762010</v>
      </c>
      <c r="F2540" s="10">
        <v>40226</v>
      </c>
      <c r="G2540" s="11">
        <v>6000</v>
      </c>
      <c r="H2540" s="11">
        <v>6000</v>
      </c>
      <c r="I2540" s="4" t="s">
        <v>366</v>
      </c>
      <c r="J2540" s="4" t="s">
        <v>367</v>
      </c>
      <c r="K2540" s="11">
        <v>0</v>
      </c>
      <c r="L2540" s="4"/>
      <c r="M2540" s="4"/>
      <c r="N2540" s="11">
        <v>0</v>
      </c>
      <c r="O2540" s="4"/>
      <c r="P2540" s="4"/>
      <c r="Q2540" s="11">
        <v>0</v>
      </c>
      <c r="R2540" s="4"/>
      <c r="S2540" s="12"/>
    </row>
    <row r="2541" spans="1:19" x14ac:dyDescent="0.25">
      <c r="A2541" s="9" t="s">
        <v>779</v>
      </c>
      <c r="B2541" s="9" t="s">
        <v>779</v>
      </c>
      <c r="C2541" s="4">
        <v>201001724</v>
      </c>
      <c r="D2541" s="4"/>
      <c r="E2541" s="4" t="str">
        <f>"037802010"</f>
        <v>037802010</v>
      </c>
      <c r="F2541" s="10">
        <v>40226</v>
      </c>
      <c r="G2541" s="11">
        <v>2773.74</v>
      </c>
      <c r="H2541" s="11">
        <v>2773.74</v>
      </c>
      <c r="I2541" s="4" t="s">
        <v>366</v>
      </c>
      <c r="J2541" s="4" t="s">
        <v>367</v>
      </c>
      <c r="K2541" s="11">
        <v>0</v>
      </c>
      <c r="L2541" s="4"/>
      <c r="M2541" s="4"/>
      <c r="N2541" s="11">
        <v>0</v>
      </c>
      <c r="O2541" s="4"/>
      <c r="P2541" s="4"/>
      <c r="Q2541" s="11">
        <v>0</v>
      </c>
      <c r="R2541" s="4"/>
      <c r="S2541" s="12"/>
    </row>
    <row r="2542" spans="1:19" x14ac:dyDescent="0.25">
      <c r="A2542" s="9" t="s">
        <v>779</v>
      </c>
      <c r="B2542" s="9" t="s">
        <v>779</v>
      </c>
      <c r="C2542" s="4">
        <v>201001726</v>
      </c>
      <c r="D2542" s="4" t="s">
        <v>2362</v>
      </c>
      <c r="E2542" s="4" t="str">
        <f>"038392010"</f>
        <v>038392010</v>
      </c>
      <c r="F2542" s="10">
        <v>40227</v>
      </c>
      <c r="G2542" s="11">
        <v>15000</v>
      </c>
      <c r="H2542" s="11">
        <v>15000</v>
      </c>
      <c r="I2542" s="4" t="s">
        <v>366</v>
      </c>
      <c r="J2542" s="4" t="s">
        <v>367</v>
      </c>
      <c r="K2542" s="11">
        <v>0</v>
      </c>
      <c r="L2542" s="4"/>
      <c r="M2542" s="4"/>
      <c r="N2542" s="11">
        <v>0</v>
      </c>
      <c r="O2542" s="4"/>
      <c r="P2542" s="4"/>
      <c r="Q2542" s="11">
        <v>0</v>
      </c>
      <c r="R2542" s="4"/>
      <c r="S2542" s="12"/>
    </row>
    <row r="2543" spans="1:19" x14ac:dyDescent="0.25">
      <c r="A2543" s="9" t="s">
        <v>779</v>
      </c>
      <c r="B2543" s="9" t="s">
        <v>779</v>
      </c>
      <c r="C2543" s="4">
        <v>201001727</v>
      </c>
      <c r="D2543" s="4" t="s">
        <v>2363</v>
      </c>
      <c r="E2543" s="4" t="str">
        <f>"043192010"</f>
        <v>043192010</v>
      </c>
      <c r="F2543" s="10">
        <v>40240</v>
      </c>
      <c r="G2543" s="11">
        <v>3851.3</v>
      </c>
      <c r="H2543" s="11">
        <v>3851.3</v>
      </c>
      <c r="I2543" s="4" t="s">
        <v>366</v>
      </c>
      <c r="J2543" s="4" t="s">
        <v>367</v>
      </c>
      <c r="K2543" s="11">
        <v>0</v>
      </c>
      <c r="L2543" s="4"/>
      <c r="M2543" s="4"/>
      <c r="N2543" s="11">
        <v>0</v>
      </c>
      <c r="O2543" s="4"/>
      <c r="P2543" s="4"/>
      <c r="Q2543" s="11">
        <v>0</v>
      </c>
      <c r="R2543" s="4"/>
      <c r="S2543" s="12"/>
    </row>
    <row r="2544" spans="1:19" x14ac:dyDescent="0.25">
      <c r="A2544" s="9" t="s">
        <v>779</v>
      </c>
      <c r="B2544" s="9" t="s">
        <v>779</v>
      </c>
      <c r="C2544" s="4">
        <v>201001780</v>
      </c>
      <c r="D2544" s="4" t="s">
        <v>2364</v>
      </c>
      <c r="E2544" s="4" t="str">
        <f>"038132010"</f>
        <v>038132010</v>
      </c>
      <c r="F2544" s="10">
        <v>40227</v>
      </c>
      <c r="G2544" s="11">
        <v>20000</v>
      </c>
      <c r="H2544" s="11">
        <v>20000</v>
      </c>
      <c r="I2544" s="4" t="s">
        <v>366</v>
      </c>
      <c r="J2544" s="4" t="s">
        <v>367</v>
      </c>
      <c r="K2544" s="11">
        <v>0</v>
      </c>
      <c r="L2544" s="4"/>
      <c r="M2544" s="4"/>
      <c r="N2544" s="11">
        <v>0</v>
      </c>
      <c r="O2544" s="4"/>
      <c r="P2544" s="4"/>
      <c r="Q2544" s="11">
        <v>0</v>
      </c>
      <c r="R2544" s="4"/>
      <c r="S2544" s="12"/>
    </row>
    <row r="2545" spans="1:19" x14ac:dyDescent="0.25">
      <c r="A2545" s="9" t="s">
        <v>779</v>
      </c>
      <c r="B2545" s="9" t="s">
        <v>779</v>
      </c>
      <c r="C2545" s="4">
        <v>201001781</v>
      </c>
      <c r="D2545" s="4"/>
      <c r="E2545" s="4" t="str">
        <f>"038112010"</f>
        <v>038112010</v>
      </c>
      <c r="F2545" s="10">
        <v>40227</v>
      </c>
      <c r="G2545" s="11">
        <v>7197.35</v>
      </c>
      <c r="H2545" s="11">
        <v>7197.35</v>
      </c>
      <c r="I2545" s="4" t="s">
        <v>366</v>
      </c>
      <c r="J2545" s="4" t="s">
        <v>367</v>
      </c>
      <c r="K2545" s="11">
        <v>0</v>
      </c>
      <c r="L2545" s="4"/>
      <c r="M2545" s="4"/>
      <c r="N2545" s="11">
        <v>0</v>
      </c>
      <c r="O2545" s="4"/>
      <c r="P2545" s="4"/>
      <c r="Q2545" s="11">
        <v>0</v>
      </c>
      <c r="R2545" s="4"/>
      <c r="S2545" s="12"/>
    </row>
    <row r="2546" spans="1:19" x14ac:dyDescent="0.25">
      <c r="A2546" s="9" t="s">
        <v>779</v>
      </c>
      <c r="B2546" s="9" t="s">
        <v>779</v>
      </c>
      <c r="C2546" s="4">
        <v>201001784</v>
      </c>
      <c r="D2546" s="4"/>
      <c r="E2546" s="4" t="str">
        <f>"043212010"</f>
        <v>043212010</v>
      </c>
      <c r="F2546" s="10">
        <v>40240</v>
      </c>
      <c r="G2546" s="11">
        <v>3500</v>
      </c>
      <c r="H2546" s="11">
        <v>3500</v>
      </c>
      <c r="I2546" s="4" t="s">
        <v>366</v>
      </c>
      <c r="J2546" s="4" t="s">
        <v>367</v>
      </c>
      <c r="K2546" s="11">
        <v>0</v>
      </c>
      <c r="L2546" s="4"/>
      <c r="M2546" s="4"/>
      <c r="N2546" s="11">
        <v>0</v>
      </c>
      <c r="O2546" s="4"/>
      <c r="P2546" s="4"/>
      <c r="Q2546" s="11">
        <v>0</v>
      </c>
      <c r="R2546" s="4"/>
      <c r="S2546" s="12"/>
    </row>
    <row r="2547" spans="1:19" x14ac:dyDescent="0.25">
      <c r="A2547" s="9" t="s">
        <v>779</v>
      </c>
      <c r="B2547" s="9" t="s">
        <v>779</v>
      </c>
      <c r="C2547" s="4">
        <v>201001787</v>
      </c>
      <c r="D2547" s="4" t="s">
        <v>2365</v>
      </c>
      <c r="E2547" s="4" t="str">
        <f>"043172010"</f>
        <v>043172010</v>
      </c>
      <c r="F2547" s="10">
        <v>40240</v>
      </c>
      <c r="G2547" s="11">
        <v>6000</v>
      </c>
      <c r="H2547" s="11">
        <v>6000</v>
      </c>
      <c r="I2547" s="4" t="s">
        <v>366</v>
      </c>
      <c r="J2547" s="4" t="s">
        <v>367</v>
      </c>
      <c r="K2547" s="11">
        <v>0</v>
      </c>
      <c r="L2547" s="4"/>
      <c r="M2547" s="4"/>
      <c r="N2547" s="11">
        <v>0</v>
      </c>
      <c r="O2547" s="4"/>
      <c r="P2547" s="4"/>
      <c r="Q2547" s="11">
        <v>0</v>
      </c>
      <c r="R2547" s="4"/>
      <c r="S2547" s="12"/>
    </row>
    <row r="2548" spans="1:19" x14ac:dyDescent="0.25">
      <c r="A2548" s="9" t="s">
        <v>779</v>
      </c>
      <c r="B2548" s="9" t="s">
        <v>779</v>
      </c>
      <c r="C2548" s="4">
        <v>201001789</v>
      </c>
      <c r="D2548" s="4" t="s">
        <v>2365</v>
      </c>
      <c r="E2548" s="4" t="str">
        <f>"043132010"</f>
        <v>043132010</v>
      </c>
      <c r="F2548" s="10">
        <v>40240</v>
      </c>
      <c r="G2548" s="11">
        <v>5000</v>
      </c>
      <c r="H2548" s="11">
        <v>5000</v>
      </c>
      <c r="I2548" s="4" t="s">
        <v>366</v>
      </c>
      <c r="J2548" s="4" t="s">
        <v>367</v>
      </c>
      <c r="K2548" s="11">
        <v>0</v>
      </c>
      <c r="L2548" s="4"/>
      <c r="M2548" s="4"/>
      <c r="N2548" s="11">
        <v>0</v>
      </c>
      <c r="O2548" s="4"/>
      <c r="P2548" s="4"/>
      <c r="Q2548" s="11">
        <v>0</v>
      </c>
      <c r="R2548" s="4"/>
      <c r="S2548" s="12"/>
    </row>
    <row r="2549" spans="1:19" x14ac:dyDescent="0.25">
      <c r="A2549" s="9" t="s">
        <v>779</v>
      </c>
      <c r="B2549" s="9" t="s">
        <v>779</v>
      </c>
      <c r="C2549" s="4">
        <v>201001791</v>
      </c>
      <c r="D2549" s="4" t="s">
        <v>2365</v>
      </c>
      <c r="E2549" s="4" t="str">
        <f>"043092010"</f>
        <v>043092010</v>
      </c>
      <c r="F2549" s="10">
        <v>40240</v>
      </c>
      <c r="G2549" s="11">
        <v>6000</v>
      </c>
      <c r="H2549" s="11">
        <v>6000</v>
      </c>
      <c r="I2549" s="4" t="s">
        <v>366</v>
      </c>
      <c r="J2549" s="4" t="s">
        <v>367</v>
      </c>
      <c r="K2549" s="11">
        <v>0</v>
      </c>
      <c r="L2549" s="4"/>
      <c r="M2549" s="4"/>
      <c r="N2549" s="11">
        <v>0</v>
      </c>
      <c r="O2549" s="4"/>
      <c r="P2549" s="4"/>
      <c r="Q2549" s="11">
        <v>0</v>
      </c>
      <c r="R2549" s="4"/>
      <c r="S2549" s="12"/>
    </row>
    <row r="2550" spans="1:19" x14ac:dyDescent="0.25">
      <c r="A2550" s="9" t="s">
        <v>779</v>
      </c>
      <c r="B2550" s="9" t="s">
        <v>779</v>
      </c>
      <c r="C2550" s="4">
        <v>201002331</v>
      </c>
      <c r="D2550" s="4"/>
      <c r="E2550" s="4" t="str">
        <f>"047202010"</f>
        <v>047202010</v>
      </c>
      <c r="F2550" s="10">
        <v>40252</v>
      </c>
      <c r="G2550" s="11">
        <v>4670</v>
      </c>
      <c r="H2550" s="11">
        <v>4670</v>
      </c>
      <c r="I2550" s="4" t="s">
        <v>366</v>
      </c>
      <c r="J2550" s="4" t="s">
        <v>367</v>
      </c>
      <c r="K2550" s="11">
        <v>0</v>
      </c>
      <c r="L2550" s="4"/>
      <c r="M2550" s="4"/>
      <c r="N2550" s="11">
        <v>0</v>
      </c>
      <c r="O2550" s="4"/>
      <c r="P2550" s="4"/>
      <c r="Q2550" s="11">
        <v>0</v>
      </c>
      <c r="R2550" s="4"/>
      <c r="S2550" s="12"/>
    </row>
    <row r="2551" spans="1:19" x14ac:dyDescent="0.25">
      <c r="A2551" s="9" t="s">
        <v>779</v>
      </c>
      <c r="B2551" s="9" t="s">
        <v>779</v>
      </c>
      <c r="C2551" s="4">
        <v>201002332</v>
      </c>
      <c r="D2551" s="4"/>
      <c r="E2551" s="4" t="str">
        <f>"047642010"</f>
        <v>047642010</v>
      </c>
      <c r="F2551" s="10">
        <v>40253</v>
      </c>
      <c r="G2551" s="11">
        <v>14388</v>
      </c>
      <c r="H2551" s="11">
        <v>14388</v>
      </c>
      <c r="I2551" s="4" t="s">
        <v>366</v>
      </c>
      <c r="J2551" s="4" t="s">
        <v>367</v>
      </c>
      <c r="K2551" s="11">
        <v>0</v>
      </c>
      <c r="L2551" s="4"/>
      <c r="M2551" s="4"/>
      <c r="N2551" s="11">
        <v>0</v>
      </c>
      <c r="O2551" s="4"/>
      <c r="P2551" s="4"/>
      <c r="Q2551" s="11">
        <v>0</v>
      </c>
      <c r="R2551" s="4"/>
      <c r="S2551" s="12"/>
    </row>
    <row r="2552" spans="1:19" x14ac:dyDescent="0.25">
      <c r="A2552" s="9" t="s">
        <v>779</v>
      </c>
      <c r="B2552" s="9" t="s">
        <v>779</v>
      </c>
      <c r="C2552" s="4">
        <v>201002334</v>
      </c>
      <c r="D2552" s="4"/>
      <c r="E2552" s="4" t="str">
        <f>"047262010"</f>
        <v>047262010</v>
      </c>
      <c r="F2552" s="10">
        <v>40252</v>
      </c>
      <c r="G2552" s="11">
        <v>5253</v>
      </c>
      <c r="H2552" s="11">
        <v>5253</v>
      </c>
      <c r="I2552" s="4" t="s">
        <v>366</v>
      </c>
      <c r="J2552" s="4" t="s">
        <v>367</v>
      </c>
      <c r="K2552" s="11">
        <v>0</v>
      </c>
      <c r="L2552" s="4"/>
      <c r="M2552" s="4"/>
      <c r="N2552" s="11">
        <v>0</v>
      </c>
      <c r="O2552" s="4"/>
      <c r="P2552" s="4"/>
      <c r="Q2552" s="11">
        <v>0</v>
      </c>
      <c r="R2552" s="4"/>
      <c r="S2552" s="12"/>
    </row>
    <row r="2553" spans="1:19" x14ac:dyDescent="0.25">
      <c r="A2553" s="9" t="s">
        <v>779</v>
      </c>
      <c r="B2553" s="9" t="s">
        <v>779</v>
      </c>
      <c r="C2553" s="4">
        <v>201002336</v>
      </c>
      <c r="D2553" s="4" t="s">
        <v>2366</v>
      </c>
      <c r="E2553" s="4" t="str">
        <f>"059812010"</f>
        <v>059812010</v>
      </c>
      <c r="F2553" s="10">
        <v>40288</v>
      </c>
      <c r="G2553" s="11">
        <v>575000</v>
      </c>
      <c r="H2553" s="11">
        <v>575000</v>
      </c>
      <c r="I2553" s="4" t="s">
        <v>366</v>
      </c>
      <c r="J2553" s="4" t="s">
        <v>367</v>
      </c>
      <c r="K2553" s="11">
        <v>0</v>
      </c>
      <c r="L2553" s="4"/>
      <c r="M2553" s="4"/>
      <c r="N2553" s="11">
        <v>0</v>
      </c>
      <c r="O2553" s="4"/>
      <c r="P2553" s="4"/>
      <c r="Q2553" s="11">
        <v>0</v>
      </c>
      <c r="R2553" s="4"/>
      <c r="S2553" s="12"/>
    </row>
    <row r="2554" spans="1:19" x14ac:dyDescent="0.25">
      <c r="A2554" s="9" t="s">
        <v>779</v>
      </c>
      <c r="B2554" s="9" t="s">
        <v>779</v>
      </c>
      <c r="C2554" s="4">
        <v>201003149</v>
      </c>
      <c r="D2554" s="4" t="s">
        <v>2367</v>
      </c>
      <c r="E2554" s="4" t="str">
        <f>"063562010"</f>
        <v>063562010</v>
      </c>
      <c r="F2554" s="10">
        <v>40297</v>
      </c>
      <c r="G2554" s="11">
        <v>50000</v>
      </c>
      <c r="H2554" s="11">
        <v>50000</v>
      </c>
      <c r="I2554" s="4" t="s">
        <v>366</v>
      </c>
      <c r="J2554" s="4" t="s">
        <v>367</v>
      </c>
      <c r="K2554" s="11">
        <v>0</v>
      </c>
      <c r="L2554" s="4"/>
      <c r="M2554" s="4"/>
      <c r="N2554" s="11">
        <v>0</v>
      </c>
      <c r="O2554" s="4"/>
      <c r="P2554" s="4"/>
      <c r="Q2554" s="11">
        <v>0</v>
      </c>
      <c r="R2554" s="4"/>
      <c r="S2554" s="12"/>
    </row>
    <row r="2555" spans="1:19" x14ac:dyDescent="0.25">
      <c r="A2555" s="9" t="s">
        <v>779</v>
      </c>
      <c r="B2555" s="9" t="s">
        <v>779</v>
      </c>
      <c r="C2555" s="4">
        <v>201003154</v>
      </c>
      <c r="D2555" s="4"/>
      <c r="E2555" s="4" t="str">
        <f>"063362010"</f>
        <v>063362010</v>
      </c>
      <c r="F2555" s="10">
        <v>40297</v>
      </c>
      <c r="G2555" s="11">
        <v>2675</v>
      </c>
      <c r="H2555" s="11">
        <v>2675</v>
      </c>
      <c r="I2555" s="4" t="s">
        <v>366</v>
      </c>
      <c r="J2555" s="4" t="s">
        <v>367</v>
      </c>
      <c r="K2555" s="11">
        <v>0</v>
      </c>
      <c r="L2555" s="4"/>
      <c r="M2555" s="4"/>
      <c r="N2555" s="11">
        <v>0</v>
      </c>
      <c r="O2555" s="4"/>
      <c r="P2555" s="4"/>
      <c r="Q2555" s="11">
        <v>0</v>
      </c>
      <c r="R2555" s="4"/>
      <c r="S2555" s="12"/>
    </row>
    <row r="2556" spans="1:19" x14ac:dyDescent="0.25">
      <c r="A2556" s="9" t="s">
        <v>779</v>
      </c>
      <c r="B2556" s="9" t="s">
        <v>779</v>
      </c>
      <c r="C2556" s="4">
        <v>201003155</v>
      </c>
      <c r="D2556" s="4"/>
      <c r="E2556" s="4" t="str">
        <f>"063402010"</f>
        <v>063402010</v>
      </c>
      <c r="F2556" s="10">
        <v>40297</v>
      </c>
      <c r="G2556" s="11">
        <v>2700</v>
      </c>
      <c r="H2556" s="11">
        <v>2700</v>
      </c>
      <c r="I2556" s="4" t="s">
        <v>366</v>
      </c>
      <c r="J2556" s="4" t="s">
        <v>367</v>
      </c>
      <c r="K2556" s="11">
        <v>0</v>
      </c>
      <c r="L2556" s="4"/>
      <c r="M2556" s="4"/>
      <c r="N2556" s="11">
        <v>0</v>
      </c>
      <c r="O2556" s="4"/>
      <c r="P2556" s="4"/>
      <c r="Q2556" s="11">
        <v>0</v>
      </c>
      <c r="R2556" s="4"/>
      <c r="S2556" s="12"/>
    </row>
    <row r="2557" spans="1:19" x14ac:dyDescent="0.25">
      <c r="A2557" s="9" t="s">
        <v>779</v>
      </c>
      <c r="B2557" s="9" t="s">
        <v>779</v>
      </c>
      <c r="C2557" s="4">
        <v>201003156</v>
      </c>
      <c r="D2557" s="4"/>
      <c r="E2557" s="4" t="str">
        <f>"065582010"</f>
        <v>065582010</v>
      </c>
      <c r="F2557" s="10">
        <v>40304</v>
      </c>
      <c r="G2557" s="11">
        <v>8216.7800000000007</v>
      </c>
      <c r="H2557" s="11">
        <v>8216.7800000000007</v>
      </c>
      <c r="I2557" s="4" t="s">
        <v>366</v>
      </c>
      <c r="J2557" s="4" t="s">
        <v>367</v>
      </c>
      <c r="K2557" s="11">
        <v>0</v>
      </c>
      <c r="L2557" s="4"/>
      <c r="M2557" s="4"/>
      <c r="N2557" s="11">
        <v>0</v>
      </c>
      <c r="O2557" s="4"/>
      <c r="P2557" s="4"/>
      <c r="Q2557" s="11">
        <v>0</v>
      </c>
      <c r="R2557" s="4"/>
      <c r="S2557" s="12"/>
    </row>
    <row r="2558" spans="1:19" x14ac:dyDescent="0.25">
      <c r="A2558" s="9" t="s">
        <v>779</v>
      </c>
      <c r="B2558" s="9" t="s">
        <v>779</v>
      </c>
      <c r="C2558" s="4">
        <v>201003158</v>
      </c>
      <c r="D2558" s="4"/>
      <c r="E2558" s="4" t="str">
        <f>"063422010"</f>
        <v>063422010</v>
      </c>
      <c r="F2558" s="10">
        <v>40297</v>
      </c>
      <c r="G2558" s="11">
        <v>3395.9</v>
      </c>
      <c r="H2558" s="11">
        <v>3395.9</v>
      </c>
      <c r="I2558" s="4" t="s">
        <v>366</v>
      </c>
      <c r="J2558" s="4" t="s">
        <v>367</v>
      </c>
      <c r="K2558" s="11">
        <v>0</v>
      </c>
      <c r="L2558" s="4"/>
      <c r="M2558" s="4"/>
      <c r="N2558" s="11">
        <v>0</v>
      </c>
      <c r="O2558" s="4"/>
      <c r="P2558" s="4"/>
      <c r="Q2558" s="11">
        <v>0</v>
      </c>
      <c r="R2558" s="4"/>
      <c r="S2558" s="12"/>
    </row>
    <row r="2559" spans="1:19" x14ac:dyDescent="0.25">
      <c r="A2559" s="9" t="s">
        <v>779</v>
      </c>
      <c r="B2559" s="9" t="s">
        <v>779</v>
      </c>
      <c r="C2559" s="4">
        <v>201003160</v>
      </c>
      <c r="D2559" s="4" t="s">
        <v>2368</v>
      </c>
      <c r="E2559" s="4" t="str">
        <f>"063622010"</f>
        <v>063622010</v>
      </c>
      <c r="F2559" s="10">
        <v>40298</v>
      </c>
      <c r="G2559" s="11">
        <v>4666</v>
      </c>
      <c r="H2559" s="11">
        <v>4666</v>
      </c>
      <c r="I2559" s="4" t="s">
        <v>366</v>
      </c>
      <c r="J2559" s="4" t="s">
        <v>367</v>
      </c>
      <c r="K2559" s="11">
        <v>0</v>
      </c>
      <c r="L2559" s="4"/>
      <c r="M2559" s="4"/>
      <c r="N2559" s="11">
        <v>0</v>
      </c>
      <c r="O2559" s="4"/>
      <c r="P2559" s="4"/>
      <c r="Q2559" s="11">
        <v>0</v>
      </c>
      <c r="R2559" s="4"/>
      <c r="S2559" s="12"/>
    </row>
    <row r="2560" spans="1:19" x14ac:dyDescent="0.25">
      <c r="A2560" s="9" t="s">
        <v>779</v>
      </c>
      <c r="B2560" s="9" t="s">
        <v>779</v>
      </c>
      <c r="C2560" s="4">
        <v>201003225</v>
      </c>
      <c r="D2560" s="4" t="s">
        <v>2369</v>
      </c>
      <c r="E2560" s="4" t="str">
        <f>"064462010"</f>
        <v>064462010</v>
      </c>
      <c r="F2560" s="10">
        <v>40302</v>
      </c>
      <c r="G2560" s="11">
        <v>3500</v>
      </c>
      <c r="H2560" s="11">
        <v>3500</v>
      </c>
      <c r="I2560" s="4" t="s">
        <v>366</v>
      </c>
      <c r="J2560" s="4" t="s">
        <v>367</v>
      </c>
      <c r="K2560" s="11">
        <v>0</v>
      </c>
      <c r="L2560" s="4"/>
      <c r="M2560" s="4"/>
      <c r="N2560" s="11">
        <v>0</v>
      </c>
      <c r="O2560" s="4"/>
      <c r="P2560" s="4"/>
      <c r="Q2560" s="11">
        <v>0</v>
      </c>
      <c r="R2560" s="4"/>
      <c r="S2560" s="12"/>
    </row>
    <row r="2561" spans="1:19" x14ac:dyDescent="0.25">
      <c r="A2561" s="9" t="s">
        <v>779</v>
      </c>
      <c r="B2561" s="9" t="s">
        <v>291</v>
      </c>
      <c r="C2561" s="4">
        <v>201003230</v>
      </c>
      <c r="D2561" s="4" t="s">
        <v>2370</v>
      </c>
      <c r="E2561" s="4" t="str">
        <f>"064802010"</f>
        <v>064802010</v>
      </c>
      <c r="F2561" s="10">
        <v>40302</v>
      </c>
      <c r="G2561" s="11">
        <v>12500</v>
      </c>
      <c r="H2561" s="11">
        <v>12500</v>
      </c>
      <c r="I2561" s="4" t="s">
        <v>23</v>
      </c>
      <c r="J2561" s="4" t="s">
        <v>24</v>
      </c>
      <c r="K2561" s="11">
        <v>0</v>
      </c>
      <c r="L2561" s="4"/>
      <c r="M2561" s="4"/>
      <c r="N2561" s="11">
        <v>0</v>
      </c>
      <c r="O2561" s="4"/>
      <c r="P2561" s="4"/>
      <c r="Q2561" s="11">
        <v>0</v>
      </c>
      <c r="R2561" s="4"/>
      <c r="S2561" s="12"/>
    </row>
    <row r="2562" spans="1:19" x14ac:dyDescent="0.25">
      <c r="A2562" s="9" t="s">
        <v>779</v>
      </c>
      <c r="B2562" s="9" t="s">
        <v>779</v>
      </c>
      <c r="C2562" s="4">
        <v>201004234</v>
      </c>
      <c r="D2562" s="4"/>
      <c r="E2562" s="4" t="str">
        <f>"086102010"</f>
        <v>086102010</v>
      </c>
      <c r="F2562" s="10">
        <v>40357</v>
      </c>
      <c r="G2562" s="11">
        <v>4002.81</v>
      </c>
      <c r="H2562" s="11">
        <v>4002.81</v>
      </c>
      <c r="I2562" s="4" t="s">
        <v>366</v>
      </c>
      <c r="J2562" s="4" t="s">
        <v>367</v>
      </c>
      <c r="K2562" s="11">
        <v>0</v>
      </c>
      <c r="L2562" s="4"/>
      <c r="M2562" s="4"/>
      <c r="N2562" s="11">
        <v>0</v>
      </c>
      <c r="O2562" s="4"/>
      <c r="P2562" s="4"/>
      <c r="Q2562" s="11">
        <v>0</v>
      </c>
      <c r="R2562" s="4"/>
      <c r="S2562" s="12"/>
    </row>
    <row r="2563" spans="1:19" x14ac:dyDescent="0.25">
      <c r="A2563" s="9" t="s">
        <v>779</v>
      </c>
      <c r="B2563" s="9" t="s">
        <v>779</v>
      </c>
      <c r="C2563" s="4">
        <v>201004236</v>
      </c>
      <c r="D2563" s="4"/>
      <c r="E2563" s="4" t="str">
        <f>"086122010"</f>
        <v>086122010</v>
      </c>
      <c r="F2563" s="10">
        <v>40357</v>
      </c>
      <c r="G2563" s="11">
        <v>7000</v>
      </c>
      <c r="H2563" s="11">
        <v>7000</v>
      </c>
      <c r="I2563" s="4" t="s">
        <v>366</v>
      </c>
      <c r="J2563" s="4" t="s">
        <v>367</v>
      </c>
      <c r="K2563" s="11">
        <v>0</v>
      </c>
      <c r="L2563" s="4"/>
      <c r="M2563" s="4"/>
      <c r="N2563" s="11">
        <v>0</v>
      </c>
      <c r="O2563" s="4"/>
      <c r="P2563" s="4"/>
      <c r="Q2563" s="11">
        <v>0</v>
      </c>
      <c r="R2563" s="4"/>
      <c r="S2563" s="12"/>
    </row>
    <row r="2564" spans="1:19" x14ac:dyDescent="0.25">
      <c r="A2564" s="9" t="s">
        <v>779</v>
      </c>
      <c r="B2564" s="9" t="s">
        <v>779</v>
      </c>
      <c r="C2564" s="4">
        <v>201004240</v>
      </c>
      <c r="D2564" s="4"/>
      <c r="E2564" s="4" t="str">
        <f>"086282010"</f>
        <v>086282010</v>
      </c>
      <c r="F2564" s="10">
        <v>40358</v>
      </c>
      <c r="G2564" s="11">
        <v>4500</v>
      </c>
      <c r="H2564" s="11">
        <v>4500</v>
      </c>
      <c r="I2564" s="4" t="s">
        <v>366</v>
      </c>
      <c r="J2564" s="4" t="s">
        <v>367</v>
      </c>
      <c r="K2564" s="11">
        <v>0</v>
      </c>
      <c r="L2564" s="4"/>
      <c r="M2564" s="4"/>
      <c r="N2564" s="11">
        <v>0</v>
      </c>
      <c r="O2564" s="4"/>
      <c r="P2564" s="4"/>
      <c r="Q2564" s="11">
        <v>0</v>
      </c>
      <c r="R2564" s="4"/>
      <c r="S2564" s="12"/>
    </row>
    <row r="2565" spans="1:19" x14ac:dyDescent="0.25">
      <c r="A2565" s="9" t="s">
        <v>779</v>
      </c>
      <c r="B2565" s="9" t="s">
        <v>779</v>
      </c>
      <c r="C2565" s="4">
        <v>201004248</v>
      </c>
      <c r="D2565" s="4" t="s">
        <v>2371</v>
      </c>
      <c r="E2565" s="4" t="str">
        <f>"086142010"</f>
        <v>086142010</v>
      </c>
      <c r="F2565" s="10">
        <v>40357</v>
      </c>
      <c r="G2565" s="11">
        <v>5459.74</v>
      </c>
      <c r="H2565" s="11">
        <v>5459.74</v>
      </c>
      <c r="I2565" s="4" t="s">
        <v>366</v>
      </c>
      <c r="J2565" s="4" t="s">
        <v>367</v>
      </c>
      <c r="K2565" s="11">
        <v>0</v>
      </c>
      <c r="L2565" s="4"/>
      <c r="M2565" s="4"/>
      <c r="N2565" s="11">
        <v>0</v>
      </c>
      <c r="O2565" s="4"/>
      <c r="P2565" s="4"/>
      <c r="Q2565" s="11">
        <v>0</v>
      </c>
      <c r="R2565" s="4"/>
      <c r="S2565" s="12"/>
    </row>
    <row r="2566" spans="1:19" x14ac:dyDescent="0.25">
      <c r="A2566" s="9" t="s">
        <v>779</v>
      </c>
      <c r="B2566" s="9" t="s">
        <v>779</v>
      </c>
      <c r="C2566" s="4">
        <v>201004249</v>
      </c>
      <c r="D2566" s="4"/>
      <c r="E2566" s="4" t="str">
        <f>"086162010"</f>
        <v>086162010</v>
      </c>
      <c r="F2566" s="10">
        <v>40357</v>
      </c>
      <c r="G2566" s="11">
        <v>3100</v>
      </c>
      <c r="H2566" s="11">
        <v>3100</v>
      </c>
      <c r="I2566" s="4" t="s">
        <v>366</v>
      </c>
      <c r="J2566" s="4" t="s">
        <v>367</v>
      </c>
      <c r="K2566" s="11">
        <v>0</v>
      </c>
      <c r="L2566" s="4"/>
      <c r="M2566" s="4"/>
      <c r="N2566" s="11">
        <v>0</v>
      </c>
      <c r="O2566" s="4"/>
      <c r="P2566" s="4"/>
      <c r="Q2566" s="11">
        <v>0</v>
      </c>
      <c r="R2566" s="4"/>
      <c r="S2566" s="12"/>
    </row>
    <row r="2567" spans="1:19" x14ac:dyDescent="0.25">
      <c r="A2567" s="9" t="s">
        <v>779</v>
      </c>
      <c r="B2567" s="9" t="s">
        <v>779</v>
      </c>
      <c r="C2567" s="4">
        <v>201004978</v>
      </c>
      <c r="D2567" s="4" t="s">
        <v>2372</v>
      </c>
      <c r="E2567" s="4" t="str">
        <f>"100712010"</f>
        <v>100712010</v>
      </c>
      <c r="F2567" s="10">
        <v>40403</v>
      </c>
      <c r="G2567" s="11">
        <v>19500</v>
      </c>
      <c r="H2567" s="11">
        <v>19500</v>
      </c>
      <c r="I2567" s="4" t="s">
        <v>366</v>
      </c>
      <c r="J2567" s="4" t="s">
        <v>367</v>
      </c>
      <c r="K2567" s="11">
        <v>0</v>
      </c>
      <c r="L2567" s="4"/>
      <c r="M2567" s="4"/>
      <c r="N2567" s="11">
        <v>0</v>
      </c>
      <c r="O2567" s="4"/>
      <c r="P2567" s="4"/>
      <c r="Q2567" s="11">
        <v>0</v>
      </c>
      <c r="R2567" s="4"/>
      <c r="S2567" s="12"/>
    </row>
    <row r="2568" spans="1:19" x14ac:dyDescent="0.25">
      <c r="A2568" s="9" t="s">
        <v>779</v>
      </c>
      <c r="B2568" s="9" t="s">
        <v>779</v>
      </c>
      <c r="C2568" s="4">
        <v>201004979</v>
      </c>
      <c r="D2568" s="4"/>
      <c r="E2568" s="4" t="str">
        <f>"100652010"</f>
        <v>100652010</v>
      </c>
      <c r="F2568" s="10">
        <v>40403</v>
      </c>
      <c r="G2568" s="11">
        <v>4250</v>
      </c>
      <c r="H2568" s="11">
        <v>4250</v>
      </c>
      <c r="I2568" s="4" t="s">
        <v>366</v>
      </c>
      <c r="J2568" s="4" t="s">
        <v>367</v>
      </c>
      <c r="K2568" s="11">
        <v>0</v>
      </c>
      <c r="L2568" s="4"/>
      <c r="M2568" s="4"/>
      <c r="N2568" s="11">
        <v>0</v>
      </c>
      <c r="O2568" s="4"/>
      <c r="P2568" s="4"/>
      <c r="Q2568" s="11">
        <v>0</v>
      </c>
      <c r="R2568" s="4"/>
      <c r="S2568" s="12"/>
    </row>
    <row r="2569" spans="1:19" x14ac:dyDescent="0.25">
      <c r="A2569" s="9" t="s">
        <v>779</v>
      </c>
      <c r="B2569" s="9" t="s">
        <v>779</v>
      </c>
      <c r="C2569" s="4">
        <v>201004981</v>
      </c>
      <c r="D2569" s="4"/>
      <c r="E2569" s="4" t="str">
        <f>"100492010"</f>
        <v>100492010</v>
      </c>
      <c r="F2569" s="10">
        <v>40403</v>
      </c>
      <c r="G2569" s="11">
        <v>6000</v>
      </c>
      <c r="H2569" s="11">
        <v>6000</v>
      </c>
      <c r="I2569" s="4" t="s">
        <v>366</v>
      </c>
      <c r="J2569" s="4" t="s">
        <v>367</v>
      </c>
      <c r="K2569" s="11">
        <v>0</v>
      </c>
      <c r="L2569" s="4"/>
      <c r="M2569" s="4"/>
      <c r="N2569" s="11">
        <v>0</v>
      </c>
      <c r="O2569" s="4"/>
      <c r="P2569" s="4"/>
      <c r="Q2569" s="11">
        <v>0</v>
      </c>
      <c r="R2569" s="4"/>
      <c r="S2569" s="12"/>
    </row>
    <row r="2570" spans="1:19" x14ac:dyDescent="0.25">
      <c r="A2570" s="9" t="s">
        <v>779</v>
      </c>
      <c r="B2570" s="9" t="s">
        <v>779</v>
      </c>
      <c r="C2570" s="4">
        <v>201004982</v>
      </c>
      <c r="D2570" s="4"/>
      <c r="E2570" s="4" t="str">
        <f>"100592010"</f>
        <v>100592010</v>
      </c>
      <c r="F2570" s="10">
        <v>40403</v>
      </c>
      <c r="G2570" s="11">
        <v>3500</v>
      </c>
      <c r="H2570" s="11">
        <v>3500</v>
      </c>
      <c r="I2570" s="4" t="s">
        <v>366</v>
      </c>
      <c r="J2570" s="4" t="s">
        <v>367</v>
      </c>
      <c r="K2570" s="11">
        <v>0</v>
      </c>
      <c r="L2570" s="4"/>
      <c r="M2570" s="4"/>
      <c r="N2570" s="11">
        <v>0</v>
      </c>
      <c r="O2570" s="4"/>
      <c r="P2570" s="4"/>
      <c r="Q2570" s="11">
        <v>0</v>
      </c>
      <c r="R2570" s="4"/>
      <c r="S2570" s="12"/>
    </row>
    <row r="2571" spans="1:19" x14ac:dyDescent="0.25">
      <c r="A2571" s="9" t="s">
        <v>779</v>
      </c>
      <c r="B2571" s="9" t="s">
        <v>779</v>
      </c>
      <c r="C2571" s="4">
        <v>201004983</v>
      </c>
      <c r="D2571" s="4"/>
      <c r="E2571" s="4" t="str">
        <f>"100572010"</f>
        <v>100572010</v>
      </c>
      <c r="F2571" s="10">
        <v>40403</v>
      </c>
      <c r="G2571" s="11">
        <v>2979.56</v>
      </c>
      <c r="H2571" s="11">
        <v>2979.56</v>
      </c>
      <c r="I2571" s="4" t="s">
        <v>366</v>
      </c>
      <c r="J2571" s="4" t="s">
        <v>367</v>
      </c>
      <c r="K2571" s="11">
        <v>0</v>
      </c>
      <c r="L2571" s="4"/>
      <c r="M2571" s="4"/>
      <c r="N2571" s="11">
        <v>0</v>
      </c>
      <c r="O2571" s="4"/>
      <c r="P2571" s="4"/>
      <c r="Q2571" s="11">
        <v>0</v>
      </c>
      <c r="R2571" s="4"/>
      <c r="S2571" s="12"/>
    </row>
    <row r="2572" spans="1:19" x14ac:dyDescent="0.25">
      <c r="A2572" s="9" t="s">
        <v>779</v>
      </c>
      <c r="B2572" s="9" t="s">
        <v>779</v>
      </c>
      <c r="C2572" s="4">
        <v>201004986</v>
      </c>
      <c r="D2572" s="4"/>
      <c r="E2572" s="4" t="str">
        <f>"108152010"</f>
        <v>108152010</v>
      </c>
      <c r="F2572" s="10">
        <v>40424</v>
      </c>
      <c r="G2572" s="11">
        <v>4290.29</v>
      </c>
      <c r="H2572" s="11">
        <v>4290.29</v>
      </c>
      <c r="I2572" s="4" t="s">
        <v>366</v>
      </c>
      <c r="J2572" s="4" t="s">
        <v>367</v>
      </c>
      <c r="K2572" s="11">
        <v>0</v>
      </c>
      <c r="L2572" s="4"/>
      <c r="M2572" s="4"/>
      <c r="N2572" s="11">
        <v>0</v>
      </c>
      <c r="O2572" s="4"/>
      <c r="P2572" s="4"/>
      <c r="Q2572" s="11">
        <v>0</v>
      </c>
      <c r="R2572" s="4"/>
      <c r="S2572" s="12"/>
    </row>
    <row r="2573" spans="1:19" x14ac:dyDescent="0.25">
      <c r="A2573" s="9" t="s">
        <v>779</v>
      </c>
      <c r="B2573" s="9" t="s">
        <v>779</v>
      </c>
      <c r="C2573" s="4">
        <v>201004988</v>
      </c>
      <c r="D2573" s="4"/>
      <c r="E2573" s="4" t="str">
        <f>"108452010"</f>
        <v>108452010</v>
      </c>
      <c r="F2573" s="10">
        <v>40424</v>
      </c>
      <c r="G2573" s="11">
        <v>6000</v>
      </c>
      <c r="H2573" s="11">
        <v>6000</v>
      </c>
      <c r="I2573" s="4" t="s">
        <v>366</v>
      </c>
      <c r="J2573" s="4" t="s">
        <v>367</v>
      </c>
      <c r="K2573" s="11">
        <v>0</v>
      </c>
      <c r="L2573" s="4"/>
      <c r="M2573" s="4"/>
      <c r="N2573" s="11">
        <v>0</v>
      </c>
      <c r="O2573" s="4"/>
      <c r="P2573" s="4"/>
      <c r="Q2573" s="11">
        <v>0</v>
      </c>
      <c r="R2573" s="4"/>
      <c r="S2573" s="12"/>
    </row>
    <row r="2574" spans="1:19" x14ac:dyDescent="0.25">
      <c r="A2574" s="9" t="s">
        <v>779</v>
      </c>
      <c r="B2574" s="9" t="s">
        <v>779</v>
      </c>
      <c r="C2574" s="4">
        <v>201005232</v>
      </c>
      <c r="D2574" s="4"/>
      <c r="E2574" s="4" t="str">
        <f>"107792010"</f>
        <v>107792010</v>
      </c>
      <c r="F2574" s="10">
        <v>40423</v>
      </c>
      <c r="G2574" s="11">
        <v>8000</v>
      </c>
      <c r="H2574" s="11">
        <v>8000</v>
      </c>
      <c r="I2574" s="4" t="s">
        <v>366</v>
      </c>
      <c r="J2574" s="4" t="s">
        <v>367</v>
      </c>
      <c r="K2574" s="11">
        <v>0</v>
      </c>
      <c r="L2574" s="4"/>
      <c r="M2574" s="4"/>
      <c r="N2574" s="11">
        <v>0</v>
      </c>
      <c r="O2574" s="4"/>
      <c r="P2574" s="4"/>
      <c r="Q2574" s="11">
        <v>0</v>
      </c>
      <c r="R2574" s="4"/>
      <c r="S2574" s="12"/>
    </row>
    <row r="2575" spans="1:19" x14ac:dyDescent="0.25">
      <c r="A2575" s="9" t="s">
        <v>779</v>
      </c>
      <c r="B2575" s="9" t="s">
        <v>779</v>
      </c>
      <c r="C2575" s="4">
        <v>201005233</v>
      </c>
      <c r="D2575" s="4"/>
      <c r="E2575" s="4" t="str">
        <f>"107692010"</f>
        <v>107692010</v>
      </c>
      <c r="F2575" s="10">
        <v>40423</v>
      </c>
      <c r="G2575" s="11">
        <v>13300</v>
      </c>
      <c r="H2575" s="11">
        <v>13300</v>
      </c>
      <c r="I2575" s="4" t="s">
        <v>366</v>
      </c>
      <c r="J2575" s="4" t="s">
        <v>367</v>
      </c>
      <c r="K2575" s="11">
        <v>0</v>
      </c>
      <c r="L2575" s="4"/>
      <c r="M2575" s="4"/>
      <c r="N2575" s="11">
        <v>0</v>
      </c>
      <c r="O2575" s="4"/>
      <c r="P2575" s="4"/>
      <c r="Q2575" s="11">
        <v>0</v>
      </c>
      <c r="R2575" s="4"/>
      <c r="S2575" s="12"/>
    </row>
    <row r="2576" spans="1:19" x14ac:dyDescent="0.25">
      <c r="A2576" s="9" t="s">
        <v>779</v>
      </c>
      <c r="B2576" s="9" t="s">
        <v>779</v>
      </c>
      <c r="C2576" s="4">
        <v>201005234</v>
      </c>
      <c r="D2576" s="4"/>
      <c r="E2576" s="4" t="str">
        <f>"107632010"</f>
        <v>107632010</v>
      </c>
      <c r="F2576" s="10">
        <v>40423</v>
      </c>
      <c r="G2576" s="11">
        <v>2700</v>
      </c>
      <c r="H2576" s="11">
        <v>2700</v>
      </c>
      <c r="I2576" s="4" t="s">
        <v>366</v>
      </c>
      <c r="J2576" s="4" t="s">
        <v>367</v>
      </c>
      <c r="K2576" s="11">
        <v>0</v>
      </c>
      <c r="L2576" s="4"/>
      <c r="M2576" s="4"/>
      <c r="N2576" s="11">
        <v>0</v>
      </c>
      <c r="O2576" s="4"/>
      <c r="P2576" s="4"/>
      <c r="Q2576" s="11">
        <v>0</v>
      </c>
      <c r="R2576" s="4"/>
      <c r="S2576" s="12"/>
    </row>
    <row r="2577" spans="1:19" x14ac:dyDescent="0.25">
      <c r="A2577" s="9" t="s">
        <v>797</v>
      </c>
      <c r="B2577" s="9" t="s">
        <v>797</v>
      </c>
      <c r="C2577" s="4">
        <v>201000408</v>
      </c>
      <c r="D2577" s="4" t="s">
        <v>2373</v>
      </c>
      <c r="E2577" s="4" t="str">
        <f>"007972010"</f>
        <v>007972010</v>
      </c>
      <c r="F2577" s="10">
        <v>40120</v>
      </c>
      <c r="G2577" s="11">
        <v>17792</v>
      </c>
      <c r="H2577" s="11">
        <v>17792</v>
      </c>
      <c r="I2577" s="4" t="s">
        <v>54</v>
      </c>
      <c r="J2577" s="4" t="s">
        <v>55</v>
      </c>
      <c r="K2577" s="11">
        <v>0</v>
      </c>
      <c r="L2577" s="4"/>
      <c r="M2577" s="4"/>
      <c r="N2577" s="11">
        <v>0</v>
      </c>
      <c r="O2577" s="4"/>
      <c r="P2577" s="4"/>
      <c r="Q2577" s="11">
        <v>0</v>
      </c>
      <c r="R2577" s="4"/>
      <c r="S2577" s="12"/>
    </row>
    <row r="2578" spans="1:19" x14ac:dyDescent="0.25">
      <c r="A2578" s="9" t="s">
        <v>797</v>
      </c>
      <c r="B2578" s="9" t="s">
        <v>797</v>
      </c>
      <c r="C2578" s="4">
        <v>201001428</v>
      </c>
      <c r="D2578" s="4"/>
      <c r="E2578" s="4" t="str">
        <f>"028162010"</f>
        <v>028162010</v>
      </c>
      <c r="F2578" s="10">
        <v>40186</v>
      </c>
      <c r="G2578" s="11">
        <v>3527.5</v>
      </c>
      <c r="H2578" s="11">
        <v>3527.5</v>
      </c>
      <c r="I2578" s="4" t="s">
        <v>366</v>
      </c>
      <c r="J2578" s="4" t="s">
        <v>367</v>
      </c>
      <c r="K2578" s="11">
        <v>0</v>
      </c>
      <c r="L2578" s="4"/>
      <c r="M2578" s="4"/>
      <c r="N2578" s="11">
        <v>0</v>
      </c>
      <c r="O2578" s="4"/>
      <c r="P2578" s="4"/>
      <c r="Q2578" s="11">
        <v>0</v>
      </c>
      <c r="R2578" s="4"/>
      <c r="S2578" s="12"/>
    </row>
    <row r="2579" spans="1:19" x14ac:dyDescent="0.25">
      <c r="A2579" s="9" t="s">
        <v>797</v>
      </c>
      <c r="B2579" s="9" t="s">
        <v>291</v>
      </c>
      <c r="C2579" s="4">
        <v>201002658</v>
      </c>
      <c r="D2579" s="4" t="s">
        <v>801</v>
      </c>
      <c r="E2579" s="4" t="str">
        <f>"052642010"</f>
        <v>052642010</v>
      </c>
      <c r="F2579" s="10">
        <v>40270</v>
      </c>
      <c r="G2579" s="11">
        <v>2943.49</v>
      </c>
      <c r="H2579" s="11">
        <v>0</v>
      </c>
      <c r="I2579" s="4"/>
      <c r="J2579" s="4"/>
      <c r="K2579" s="11">
        <v>0</v>
      </c>
      <c r="L2579" s="4"/>
      <c r="M2579" s="4"/>
      <c r="N2579" s="11">
        <v>2943.49</v>
      </c>
      <c r="O2579" s="4" t="s">
        <v>56</v>
      </c>
      <c r="P2579" s="4" t="s">
        <v>57</v>
      </c>
      <c r="Q2579" s="11">
        <v>0</v>
      </c>
      <c r="R2579" s="4"/>
      <c r="S2579" s="12"/>
    </row>
    <row r="2580" spans="1:19" x14ac:dyDescent="0.25">
      <c r="A2580" s="9" t="s">
        <v>814</v>
      </c>
      <c r="B2580" s="9" t="s">
        <v>814</v>
      </c>
      <c r="C2580" s="4">
        <v>201003366</v>
      </c>
      <c r="D2580" s="4"/>
      <c r="E2580" s="4" t="str">
        <f>"068562010"</f>
        <v>068562010</v>
      </c>
      <c r="F2580" s="10">
        <v>40318</v>
      </c>
      <c r="G2580" s="11">
        <v>9082.74</v>
      </c>
      <c r="H2580" s="11">
        <v>9082.74</v>
      </c>
      <c r="I2580" s="4" t="s">
        <v>366</v>
      </c>
      <c r="J2580" s="4" t="s">
        <v>367</v>
      </c>
      <c r="K2580" s="11">
        <v>0</v>
      </c>
      <c r="L2580" s="4"/>
      <c r="M2580" s="4"/>
      <c r="N2580" s="11">
        <v>0</v>
      </c>
      <c r="O2580" s="4"/>
      <c r="P2580" s="4"/>
      <c r="Q2580" s="11">
        <v>0</v>
      </c>
      <c r="R2580" s="4"/>
      <c r="S2580" s="12"/>
    </row>
    <row r="2581" spans="1:19" x14ac:dyDescent="0.25">
      <c r="A2581" s="9" t="s">
        <v>814</v>
      </c>
      <c r="B2581" s="9" t="s">
        <v>814</v>
      </c>
      <c r="C2581" s="4">
        <v>201004601</v>
      </c>
      <c r="D2581" s="4"/>
      <c r="E2581" s="4" t="str">
        <f>"095952010"</f>
        <v>095952010</v>
      </c>
      <c r="F2581" s="10">
        <v>40387</v>
      </c>
      <c r="G2581" s="11">
        <v>16640.37</v>
      </c>
      <c r="H2581" s="11">
        <v>16640.37</v>
      </c>
      <c r="I2581" s="4" t="s">
        <v>366</v>
      </c>
      <c r="J2581" s="4" t="s">
        <v>367</v>
      </c>
      <c r="K2581" s="11">
        <v>0</v>
      </c>
      <c r="L2581" s="4"/>
      <c r="M2581" s="4"/>
      <c r="N2581" s="11">
        <v>0</v>
      </c>
      <c r="O2581" s="4"/>
      <c r="P2581" s="4"/>
      <c r="Q2581" s="11">
        <v>0</v>
      </c>
      <c r="R2581" s="4"/>
      <c r="S2581" s="12"/>
    </row>
    <row r="2582" spans="1:19" x14ac:dyDescent="0.25">
      <c r="A2582" s="9" t="s">
        <v>814</v>
      </c>
      <c r="B2582" s="9" t="s">
        <v>291</v>
      </c>
      <c r="C2582" s="4">
        <v>201005100</v>
      </c>
      <c r="D2582" s="4" t="s">
        <v>2374</v>
      </c>
      <c r="E2582" s="4" t="str">
        <f>"102012010"</f>
        <v>102012010</v>
      </c>
      <c r="F2582" s="10">
        <v>40408</v>
      </c>
      <c r="G2582" s="11">
        <v>25000</v>
      </c>
      <c r="H2582" s="11">
        <v>25000</v>
      </c>
      <c r="I2582" s="4" t="s">
        <v>23</v>
      </c>
      <c r="J2582" s="4" t="s">
        <v>24</v>
      </c>
      <c r="K2582" s="11">
        <v>0</v>
      </c>
      <c r="L2582" s="4"/>
      <c r="M2582" s="4"/>
      <c r="N2582" s="11">
        <v>0</v>
      </c>
      <c r="O2582" s="4"/>
      <c r="P2582" s="4"/>
      <c r="Q2582" s="11">
        <v>0</v>
      </c>
      <c r="R2582" s="4"/>
      <c r="S2582" s="12"/>
    </row>
    <row r="2583" spans="1:19" x14ac:dyDescent="0.25">
      <c r="A2583" s="9" t="s">
        <v>2375</v>
      </c>
      <c r="B2583" s="9" t="s">
        <v>2375</v>
      </c>
      <c r="C2583" s="4">
        <v>201005337</v>
      </c>
      <c r="D2583" s="4"/>
      <c r="E2583" s="4" t="str">
        <f>"106092010"</f>
        <v>106092010</v>
      </c>
      <c r="F2583" s="10">
        <v>40416</v>
      </c>
      <c r="G2583" s="11">
        <v>8958.44</v>
      </c>
      <c r="H2583" s="11">
        <v>8958.44</v>
      </c>
      <c r="I2583" s="4" t="s">
        <v>366</v>
      </c>
      <c r="J2583" s="4" t="s">
        <v>367</v>
      </c>
      <c r="K2583" s="11">
        <v>0</v>
      </c>
      <c r="L2583" s="4"/>
      <c r="M2583" s="4"/>
      <c r="N2583" s="11">
        <v>0</v>
      </c>
      <c r="O2583" s="4"/>
      <c r="P2583" s="4"/>
      <c r="Q2583" s="11">
        <v>0</v>
      </c>
      <c r="R2583" s="4"/>
      <c r="S2583" s="12"/>
    </row>
    <row r="2584" spans="1:19" x14ac:dyDescent="0.25">
      <c r="A2584" s="9" t="s">
        <v>817</v>
      </c>
      <c r="B2584" s="9" t="s">
        <v>817</v>
      </c>
      <c r="C2584" s="4">
        <v>201000042</v>
      </c>
      <c r="D2584" s="4" t="s">
        <v>2376</v>
      </c>
      <c r="E2584" s="4" t="str">
        <f>"007192010"</f>
        <v>007192010</v>
      </c>
      <c r="F2584" s="10">
        <v>40115</v>
      </c>
      <c r="G2584" s="11">
        <v>10037.61</v>
      </c>
      <c r="H2584" s="11">
        <v>10037.61</v>
      </c>
      <c r="I2584" s="4" t="s">
        <v>366</v>
      </c>
      <c r="J2584" s="4" t="s">
        <v>367</v>
      </c>
      <c r="K2584" s="11">
        <v>0</v>
      </c>
      <c r="L2584" s="4"/>
      <c r="M2584" s="4"/>
      <c r="N2584" s="11">
        <v>0</v>
      </c>
      <c r="O2584" s="4"/>
      <c r="P2584" s="4"/>
      <c r="Q2584" s="11">
        <v>0</v>
      </c>
      <c r="R2584" s="4"/>
      <c r="S2584" s="12"/>
    </row>
    <row r="2585" spans="1:19" x14ac:dyDescent="0.25">
      <c r="A2585" s="9" t="s">
        <v>817</v>
      </c>
      <c r="B2585" s="9" t="s">
        <v>817</v>
      </c>
      <c r="C2585" s="4">
        <v>201000390</v>
      </c>
      <c r="D2585" s="4"/>
      <c r="E2585" s="4" t="str">
        <f>"007292010"</f>
        <v>007292010</v>
      </c>
      <c r="F2585" s="10">
        <v>40115</v>
      </c>
      <c r="G2585" s="11">
        <v>31420</v>
      </c>
      <c r="H2585" s="11">
        <v>31420</v>
      </c>
      <c r="I2585" s="4" t="s">
        <v>1823</v>
      </c>
      <c r="J2585" s="4" t="s">
        <v>1824</v>
      </c>
      <c r="K2585" s="11">
        <v>0</v>
      </c>
      <c r="L2585" s="4"/>
      <c r="M2585" s="4"/>
      <c r="N2585" s="11">
        <v>0</v>
      </c>
      <c r="O2585" s="4"/>
      <c r="P2585" s="4"/>
      <c r="Q2585" s="11">
        <v>0</v>
      </c>
      <c r="R2585" s="4"/>
      <c r="S2585" s="12"/>
    </row>
    <row r="2586" spans="1:19" x14ac:dyDescent="0.25">
      <c r="A2586" s="9" t="s">
        <v>817</v>
      </c>
      <c r="B2586" s="9" t="s">
        <v>817</v>
      </c>
      <c r="C2586" s="4">
        <v>201000686</v>
      </c>
      <c r="D2586" s="4" t="s">
        <v>2377</v>
      </c>
      <c r="E2586" s="4" t="str">
        <f>"017102010"</f>
        <v>017102010</v>
      </c>
      <c r="F2586" s="10">
        <v>40149</v>
      </c>
      <c r="G2586" s="11">
        <v>75000</v>
      </c>
      <c r="H2586" s="11">
        <v>75000</v>
      </c>
      <c r="I2586" s="4" t="s">
        <v>1823</v>
      </c>
      <c r="J2586" s="4" t="s">
        <v>1824</v>
      </c>
      <c r="K2586" s="11">
        <v>0</v>
      </c>
      <c r="L2586" s="4"/>
      <c r="M2586" s="4"/>
      <c r="N2586" s="11">
        <v>0</v>
      </c>
      <c r="O2586" s="4"/>
      <c r="P2586" s="4"/>
      <c r="Q2586" s="11">
        <v>0</v>
      </c>
      <c r="R2586" s="4"/>
      <c r="S2586" s="12"/>
    </row>
    <row r="2587" spans="1:19" x14ac:dyDescent="0.25">
      <c r="A2587" s="9" t="s">
        <v>817</v>
      </c>
      <c r="B2587" s="9" t="s">
        <v>817</v>
      </c>
      <c r="C2587" s="4">
        <v>201001179</v>
      </c>
      <c r="D2587" s="4" t="s">
        <v>2378</v>
      </c>
      <c r="E2587" s="4" t="str">
        <f>"023272010"</f>
        <v>023272010</v>
      </c>
      <c r="F2587" s="10">
        <v>40165</v>
      </c>
      <c r="G2587" s="11">
        <v>9000</v>
      </c>
      <c r="H2587" s="11">
        <v>9000</v>
      </c>
      <c r="I2587" s="4" t="s">
        <v>54</v>
      </c>
      <c r="J2587" s="4" t="s">
        <v>55</v>
      </c>
      <c r="K2587" s="11">
        <v>0</v>
      </c>
      <c r="L2587" s="4"/>
      <c r="M2587" s="4"/>
      <c r="N2587" s="11">
        <v>0</v>
      </c>
      <c r="O2587" s="4"/>
      <c r="P2587" s="4"/>
      <c r="Q2587" s="11">
        <v>0</v>
      </c>
      <c r="R2587" s="4"/>
      <c r="S2587" s="12"/>
    </row>
    <row r="2588" spans="1:19" x14ac:dyDescent="0.25">
      <c r="A2588" s="9" t="s">
        <v>817</v>
      </c>
      <c r="B2588" s="9" t="s">
        <v>817</v>
      </c>
      <c r="C2588" s="4">
        <v>201001275</v>
      </c>
      <c r="D2588" s="4" t="s">
        <v>2379</v>
      </c>
      <c r="E2588" s="4" t="str">
        <f>"024992010"</f>
        <v>024992010</v>
      </c>
      <c r="F2588" s="10">
        <v>40177</v>
      </c>
      <c r="G2588" s="11">
        <v>6985.61</v>
      </c>
      <c r="H2588" s="11">
        <v>6985.61</v>
      </c>
      <c r="I2588" s="4" t="s">
        <v>366</v>
      </c>
      <c r="J2588" s="4" t="s">
        <v>367</v>
      </c>
      <c r="K2588" s="11">
        <v>0</v>
      </c>
      <c r="L2588" s="4"/>
      <c r="M2588" s="4"/>
      <c r="N2588" s="11">
        <v>0</v>
      </c>
      <c r="O2588" s="4"/>
      <c r="P2588" s="4"/>
      <c r="Q2588" s="11">
        <v>0</v>
      </c>
      <c r="R2588" s="4"/>
      <c r="S2588" s="12"/>
    </row>
    <row r="2589" spans="1:19" x14ac:dyDescent="0.25">
      <c r="A2589" s="9" t="s">
        <v>817</v>
      </c>
      <c r="B2589" s="9" t="s">
        <v>817</v>
      </c>
      <c r="C2589" s="4">
        <v>201002291</v>
      </c>
      <c r="D2589" s="4"/>
      <c r="E2589" s="4" t="str">
        <f>"046122010"</f>
        <v>046122010</v>
      </c>
      <c r="F2589" s="10">
        <v>40249</v>
      </c>
      <c r="G2589" s="11">
        <v>3311</v>
      </c>
      <c r="H2589" s="11">
        <v>3311</v>
      </c>
      <c r="I2589" s="4" t="s">
        <v>54</v>
      </c>
      <c r="J2589" s="4" t="s">
        <v>55</v>
      </c>
      <c r="K2589" s="11">
        <v>0</v>
      </c>
      <c r="L2589" s="4"/>
      <c r="M2589" s="4"/>
      <c r="N2589" s="11">
        <v>0</v>
      </c>
      <c r="O2589" s="4"/>
      <c r="P2589" s="4"/>
      <c r="Q2589" s="11">
        <v>0</v>
      </c>
      <c r="R2589" s="4"/>
      <c r="S2589" s="12"/>
    </row>
    <row r="2590" spans="1:19" x14ac:dyDescent="0.25">
      <c r="A2590" s="9" t="s">
        <v>817</v>
      </c>
      <c r="B2590" s="9" t="s">
        <v>291</v>
      </c>
      <c r="C2590" s="4">
        <v>201002308</v>
      </c>
      <c r="D2590" s="4" t="s">
        <v>2380</v>
      </c>
      <c r="E2590" s="4" t="str">
        <f>"045522010"</f>
        <v>045522010</v>
      </c>
      <c r="F2590" s="10">
        <v>40248</v>
      </c>
      <c r="G2590" s="11">
        <v>10000</v>
      </c>
      <c r="H2590" s="11">
        <v>10000</v>
      </c>
      <c r="I2590" s="4" t="s">
        <v>931</v>
      </c>
      <c r="J2590" s="4" t="s">
        <v>932</v>
      </c>
      <c r="K2590" s="11">
        <v>0</v>
      </c>
      <c r="L2590" s="4"/>
      <c r="M2590" s="4"/>
      <c r="N2590" s="11">
        <v>0</v>
      </c>
      <c r="O2590" s="4"/>
      <c r="P2590" s="4"/>
      <c r="Q2590" s="11">
        <v>0</v>
      </c>
      <c r="R2590" s="4"/>
      <c r="S2590" s="12"/>
    </row>
    <row r="2591" spans="1:19" x14ac:dyDescent="0.25">
      <c r="A2591" s="9" t="s">
        <v>817</v>
      </c>
      <c r="B2591" s="9" t="s">
        <v>817</v>
      </c>
      <c r="C2591" s="4">
        <v>201002869</v>
      </c>
      <c r="D2591" s="4" t="s">
        <v>2381</v>
      </c>
      <c r="E2591" s="4" t="str">
        <f>"056712010"</f>
        <v>056712010</v>
      </c>
      <c r="F2591" s="10">
        <v>40276</v>
      </c>
      <c r="G2591" s="11">
        <v>8215.5</v>
      </c>
      <c r="H2591" s="11">
        <v>8215.5</v>
      </c>
      <c r="I2591" s="4" t="s">
        <v>366</v>
      </c>
      <c r="J2591" s="4" t="s">
        <v>367</v>
      </c>
      <c r="K2591" s="11">
        <v>0</v>
      </c>
      <c r="L2591" s="4"/>
      <c r="M2591" s="4"/>
      <c r="N2591" s="11">
        <v>0</v>
      </c>
      <c r="O2591" s="4"/>
      <c r="P2591" s="4"/>
      <c r="Q2591" s="11">
        <v>0</v>
      </c>
      <c r="R2591" s="4"/>
      <c r="S2591" s="12"/>
    </row>
    <row r="2592" spans="1:19" x14ac:dyDescent="0.25">
      <c r="A2592" s="9" t="s">
        <v>817</v>
      </c>
      <c r="B2592" s="9" t="s">
        <v>817</v>
      </c>
      <c r="C2592" s="4">
        <v>201003952</v>
      </c>
      <c r="D2592" s="4"/>
      <c r="E2592" s="4" t="str">
        <f>"083232010"</f>
        <v>083232010</v>
      </c>
      <c r="F2592" s="10">
        <v>40354</v>
      </c>
      <c r="G2592" s="11">
        <v>7780.43</v>
      </c>
      <c r="H2592" s="11">
        <v>7780.43</v>
      </c>
      <c r="I2592" s="4" t="s">
        <v>1823</v>
      </c>
      <c r="J2592" s="4" t="s">
        <v>1824</v>
      </c>
      <c r="K2592" s="11">
        <v>0</v>
      </c>
      <c r="L2592" s="4"/>
      <c r="M2592" s="4"/>
      <c r="N2592" s="11">
        <v>0</v>
      </c>
      <c r="O2592" s="4"/>
      <c r="P2592" s="4"/>
      <c r="Q2592" s="11">
        <v>0</v>
      </c>
      <c r="R2592" s="4"/>
      <c r="S2592" s="12"/>
    </row>
    <row r="2593" spans="1:19" x14ac:dyDescent="0.25">
      <c r="A2593" s="9" t="s">
        <v>817</v>
      </c>
      <c r="B2593" s="9" t="s">
        <v>817</v>
      </c>
      <c r="C2593" s="4">
        <v>201004928</v>
      </c>
      <c r="D2593" s="4"/>
      <c r="E2593" s="4" t="str">
        <f>"098622010"</f>
        <v>098622010</v>
      </c>
      <c r="F2593" s="10">
        <v>40394</v>
      </c>
      <c r="G2593" s="11">
        <v>2588</v>
      </c>
      <c r="H2593" s="11">
        <v>2588</v>
      </c>
      <c r="I2593" s="4" t="s">
        <v>366</v>
      </c>
      <c r="J2593" s="4" t="s">
        <v>367</v>
      </c>
      <c r="K2593" s="11">
        <v>0</v>
      </c>
      <c r="L2593" s="4"/>
      <c r="M2593" s="4"/>
      <c r="N2593" s="11">
        <v>0</v>
      </c>
      <c r="O2593" s="4"/>
      <c r="P2593" s="4"/>
      <c r="Q2593" s="11">
        <v>0</v>
      </c>
      <c r="R2593" s="4"/>
      <c r="S2593" s="12"/>
    </row>
    <row r="2594" spans="1:19" x14ac:dyDescent="0.25">
      <c r="A2594" s="9" t="s">
        <v>817</v>
      </c>
      <c r="B2594" s="9" t="s">
        <v>817</v>
      </c>
      <c r="C2594" s="4">
        <v>201005682</v>
      </c>
      <c r="D2594" s="4"/>
      <c r="E2594" s="4" t="str">
        <f>"115702010"</f>
        <v>115702010</v>
      </c>
      <c r="F2594" s="10">
        <v>40450</v>
      </c>
      <c r="G2594" s="11">
        <v>3081.23</v>
      </c>
      <c r="H2594" s="11">
        <v>3081.23</v>
      </c>
      <c r="I2594" s="4" t="s">
        <v>366</v>
      </c>
      <c r="J2594" s="4" t="s">
        <v>367</v>
      </c>
      <c r="K2594" s="11">
        <v>0</v>
      </c>
      <c r="L2594" s="4"/>
      <c r="M2594" s="4"/>
      <c r="N2594" s="11">
        <v>0</v>
      </c>
      <c r="O2594" s="4"/>
      <c r="P2594" s="4"/>
      <c r="Q2594" s="11">
        <v>0</v>
      </c>
      <c r="R2594" s="4"/>
      <c r="S2594" s="12"/>
    </row>
    <row r="2595" spans="1:19" x14ac:dyDescent="0.25">
      <c r="A2595" s="9" t="s">
        <v>843</v>
      </c>
      <c r="B2595" s="9" t="s">
        <v>843</v>
      </c>
      <c r="C2595" s="4">
        <v>200904480</v>
      </c>
      <c r="D2595" s="4"/>
      <c r="E2595" s="4" t="str">
        <f>"088272009"</f>
        <v>088272009</v>
      </c>
      <c r="F2595" s="10">
        <v>40120</v>
      </c>
      <c r="G2595" s="11">
        <v>2525.5100000000002</v>
      </c>
      <c r="H2595" s="11">
        <v>2525.5100000000002</v>
      </c>
      <c r="I2595" s="4" t="s">
        <v>366</v>
      </c>
      <c r="J2595" s="4" t="s">
        <v>367</v>
      </c>
      <c r="K2595" s="11">
        <v>0</v>
      </c>
      <c r="L2595" s="4"/>
      <c r="M2595" s="4"/>
      <c r="N2595" s="11">
        <v>0</v>
      </c>
      <c r="O2595" s="4"/>
      <c r="P2595" s="4"/>
      <c r="Q2595" s="11">
        <v>0</v>
      </c>
      <c r="R2595" s="4"/>
      <c r="S2595" s="12"/>
    </row>
    <row r="2596" spans="1:19" x14ac:dyDescent="0.25">
      <c r="A2596" s="9" t="s">
        <v>843</v>
      </c>
      <c r="B2596" s="9" t="s">
        <v>843</v>
      </c>
      <c r="C2596" s="4">
        <v>200905294</v>
      </c>
      <c r="D2596" s="4"/>
      <c r="E2596" s="4" t="str">
        <f>"088592009"</f>
        <v>088592009</v>
      </c>
      <c r="F2596" s="10">
        <v>40367</v>
      </c>
      <c r="G2596" s="11">
        <v>3699.73</v>
      </c>
      <c r="H2596" s="11">
        <v>3699.73</v>
      </c>
      <c r="I2596" s="4" t="s">
        <v>366</v>
      </c>
      <c r="J2596" s="4" t="s">
        <v>367</v>
      </c>
      <c r="K2596" s="11">
        <v>0</v>
      </c>
      <c r="L2596" s="4"/>
      <c r="M2596" s="4"/>
      <c r="N2596" s="11">
        <v>0</v>
      </c>
      <c r="O2596" s="4"/>
      <c r="P2596" s="4"/>
      <c r="Q2596" s="11">
        <v>0</v>
      </c>
      <c r="R2596" s="4"/>
      <c r="S2596" s="12"/>
    </row>
    <row r="2597" spans="1:19" x14ac:dyDescent="0.25">
      <c r="A2597" s="9" t="s">
        <v>843</v>
      </c>
      <c r="B2597" s="9" t="s">
        <v>843</v>
      </c>
      <c r="C2597" s="4">
        <v>200905757</v>
      </c>
      <c r="D2597" s="4"/>
      <c r="E2597" s="4" t="str">
        <f>"088482009"</f>
        <v>088482009</v>
      </c>
      <c r="F2597" s="10">
        <v>40165</v>
      </c>
      <c r="G2597" s="11">
        <v>3584.78</v>
      </c>
      <c r="H2597" s="11">
        <v>3584.78</v>
      </c>
      <c r="I2597" s="4" t="s">
        <v>366</v>
      </c>
      <c r="J2597" s="4" t="s">
        <v>367</v>
      </c>
      <c r="K2597" s="11">
        <v>0</v>
      </c>
      <c r="L2597" s="4"/>
      <c r="M2597" s="4"/>
      <c r="N2597" s="11">
        <v>0</v>
      </c>
      <c r="O2597" s="4"/>
      <c r="P2597" s="4"/>
      <c r="Q2597" s="11">
        <v>0</v>
      </c>
      <c r="R2597" s="4"/>
      <c r="S2597" s="12"/>
    </row>
    <row r="2598" spans="1:19" x14ac:dyDescent="0.25">
      <c r="A2598" s="9" t="s">
        <v>843</v>
      </c>
      <c r="B2598" s="9" t="s">
        <v>843</v>
      </c>
      <c r="C2598" s="4">
        <v>200905927</v>
      </c>
      <c r="D2598" s="4"/>
      <c r="E2598" s="4" t="str">
        <f>"086732009"</f>
        <v>086732009</v>
      </c>
      <c r="F2598" s="10">
        <v>40091</v>
      </c>
      <c r="G2598" s="11">
        <v>2917.59</v>
      </c>
      <c r="H2598" s="11">
        <v>2917.59</v>
      </c>
      <c r="I2598" s="4" t="s">
        <v>366</v>
      </c>
      <c r="J2598" s="4" t="s">
        <v>367</v>
      </c>
      <c r="K2598" s="11">
        <v>0</v>
      </c>
      <c r="L2598" s="4"/>
      <c r="M2598" s="4"/>
      <c r="N2598" s="11">
        <v>0</v>
      </c>
      <c r="O2598" s="4"/>
      <c r="P2598" s="4"/>
      <c r="Q2598" s="11">
        <v>0</v>
      </c>
      <c r="R2598" s="4"/>
      <c r="S2598" s="12"/>
    </row>
    <row r="2599" spans="1:19" x14ac:dyDescent="0.25">
      <c r="A2599" s="9" t="s">
        <v>843</v>
      </c>
      <c r="B2599" s="9" t="s">
        <v>843</v>
      </c>
      <c r="C2599" s="4">
        <v>201000056</v>
      </c>
      <c r="D2599" s="4"/>
      <c r="E2599" s="4" t="str">
        <f>"000662010"</f>
        <v>000662010</v>
      </c>
      <c r="F2599" s="10">
        <v>40094</v>
      </c>
      <c r="G2599" s="11">
        <v>2539.9</v>
      </c>
      <c r="H2599" s="11">
        <v>2539.9</v>
      </c>
      <c r="I2599" s="4" t="s">
        <v>366</v>
      </c>
      <c r="J2599" s="4" t="s">
        <v>367</v>
      </c>
      <c r="K2599" s="11">
        <v>0</v>
      </c>
      <c r="L2599" s="4"/>
      <c r="M2599" s="4"/>
      <c r="N2599" s="11">
        <v>0</v>
      </c>
      <c r="O2599" s="4"/>
      <c r="P2599" s="4"/>
      <c r="Q2599" s="11">
        <v>0</v>
      </c>
      <c r="R2599" s="4"/>
      <c r="S2599" s="12"/>
    </row>
    <row r="2600" spans="1:19" x14ac:dyDescent="0.25">
      <c r="A2600" s="9" t="s">
        <v>843</v>
      </c>
      <c r="B2600" s="9" t="s">
        <v>843</v>
      </c>
      <c r="C2600" s="4">
        <v>201000065</v>
      </c>
      <c r="D2600" s="4"/>
      <c r="E2600" s="4" t="str">
        <f>"001022010"</f>
        <v>001022010</v>
      </c>
      <c r="F2600" s="10">
        <v>40094</v>
      </c>
      <c r="G2600" s="11">
        <v>4678.9399999999996</v>
      </c>
      <c r="H2600" s="11">
        <v>4678.9399999999996</v>
      </c>
      <c r="I2600" s="4" t="s">
        <v>366</v>
      </c>
      <c r="J2600" s="4" t="s">
        <v>367</v>
      </c>
      <c r="K2600" s="11">
        <v>0</v>
      </c>
      <c r="L2600" s="4"/>
      <c r="M2600" s="4"/>
      <c r="N2600" s="11">
        <v>0</v>
      </c>
      <c r="O2600" s="4"/>
      <c r="P2600" s="4"/>
      <c r="Q2600" s="11">
        <v>0</v>
      </c>
      <c r="R2600" s="4"/>
      <c r="S2600" s="12"/>
    </row>
    <row r="2601" spans="1:19" x14ac:dyDescent="0.25">
      <c r="A2601" s="9" t="s">
        <v>843</v>
      </c>
      <c r="B2601" s="9" t="s">
        <v>843</v>
      </c>
      <c r="C2601" s="4">
        <v>201000088</v>
      </c>
      <c r="D2601" s="4"/>
      <c r="E2601" s="4" t="str">
        <f>"001362010"</f>
        <v>001362010</v>
      </c>
      <c r="F2601" s="10">
        <v>40094</v>
      </c>
      <c r="G2601" s="11">
        <v>45000</v>
      </c>
      <c r="H2601" s="11">
        <v>45000</v>
      </c>
      <c r="I2601" s="4" t="s">
        <v>366</v>
      </c>
      <c r="J2601" s="4" t="s">
        <v>367</v>
      </c>
      <c r="K2601" s="11">
        <v>0</v>
      </c>
      <c r="L2601" s="4"/>
      <c r="M2601" s="4"/>
      <c r="N2601" s="11">
        <v>0</v>
      </c>
      <c r="O2601" s="4"/>
      <c r="P2601" s="4"/>
      <c r="Q2601" s="11">
        <v>0</v>
      </c>
      <c r="R2601" s="4"/>
      <c r="S2601" s="12"/>
    </row>
    <row r="2602" spans="1:19" x14ac:dyDescent="0.25">
      <c r="A2602" s="9" t="s">
        <v>843</v>
      </c>
      <c r="B2602" s="9" t="s">
        <v>843</v>
      </c>
      <c r="C2602" s="4">
        <v>201000125</v>
      </c>
      <c r="D2602" s="4" t="s">
        <v>2382</v>
      </c>
      <c r="E2602" s="4" t="str">
        <f>"002022010"</f>
        <v>002022010</v>
      </c>
      <c r="F2602" s="10">
        <v>40095</v>
      </c>
      <c r="G2602" s="11">
        <v>10000</v>
      </c>
      <c r="H2602" s="11">
        <v>10000</v>
      </c>
      <c r="I2602" s="4" t="s">
        <v>366</v>
      </c>
      <c r="J2602" s="4" t="s">
        <v>367</v>
      </c>
      <c r="K2602" s="11">
        <v>0</v>
      </c>
      <c r="L2602" s="4"/>
      <c r="M2602" s="4"/>
      <c r="N2602" s="11">
        <v>0</v>
      </c>
      <c r="O2602" s="4"/>
      <c r="P2602" s="4"/>
      <c r="Q2602" s="11">
        <v>0</v>
      </c>
      <c r="R2602" s="4"/>
      <c r="S2602" s="12"/>
    </row>
    <row r="2603" spans="1:19" x14ac:dyDescent="0.25">
      <c r="A2603" s="9" t="s">
        <v>843</v>
      </c>
      <c r="B2603" s="9" t="s">
        <v>291</v>
      </c>
      <c r="C2603" s="4">
        <v>201000159</v>
      </c>
      <c r="D2603" s="4"/>
      <c r="E2603" s="4" t="str">
        <f>"003002010"</f>
        <v>003002010</v>
      </c>
      <c r="F2603" s="10">
        <v>40100</v>
      </c>
      <c r="G2603" s="11">
        <v>38384.720000000001</v>
      </c>
      <c r="H2603" s="11">
        <v>38384.720000000001</v>
      </c>
      <c r="I2603" s="4" t="s">
        <v>366</v>
      </c>
      <c r="J2603" s="4" t="s">
        <v>367</v>
      </c>
      <c r="K2603" s="11">
        <v>0</v>
      </c>
      <c r="L2603" s="4"/>
      <c r="M2603" s="4"/>
      <c r="N2603" s="11">
        <v>0</v>
      </c>
      <c r="O2603" s="4"/>
      <c r="P2603" s="4"/>
      <c r="Q2603" s="11">
        <v>0</v>
      </c>
      <c r="R2603" s="4"/>
      <c r="S2603" s="12"/>
    </row>
    <row r="2604" spans="1:19" x14ac:dyDescent="0.25">
      <c r="A2604" s="9" t="s">
        <v>843</v>
      </c>
      <c r="B2604" s="9" t="s">
        <v>843</v>
      </c>
      <c r="C2604" s="4">
        <v>201000185</v>
      </c>
      <c r="D2604" s="4"/>
      <c r="E2604" s="4" t="str">
        <f>"003182010"</f>
        <v>003182010</v>
      </c>
      <c r="F2604" s="10">
        <v>40101</v>
      </c>
      <c r="G2604" s="11">
        <v>11804.75</v>
      </c>
      <c r="H2604" s="11">
        <v>11804.75</v>
      </c>
      <c r="I2604" s="4" t="s">
        <v>366</v>
      </c>
      <c r="J2604" s="4" t="s">
        <v>367</v>
      </c>
      <c r="K2604" s="11">
        <v>0</v>
      </c>
      <c r="L2604" s="4"/>
      <c r="M2604" s="4"/>
      <c r="N2604" s="11">
        <v>0</v>
      </c>
      <c r="O2604" s="4"/>
      <c r="P2604" s="4"/>
      <c r="Q2604" s="11">
        <v>0</v>
      </c>
      <c r="R2604" s="4"/>
      <c r="S2604" s="12"/>
    </row>
    <row r="2605" spans="1:19" x14ac:dyDescent="0.25">
      <c r="A2605" s="9" t="s">
        <v>843</v>
      </c>
      <c r="B2605" s="9" t="s">
        <v>843</v>
      </c>
      <c r="C2605" s="4">
        <v>201000246</v>
      </c>
      <c r="D2605" s="4"/>
      <c r="E2605" s="4" t="str">
        <f>"004322010"</f>
        <v>004322010</v>
      </c>
      <c r="F2605" s="10">
        <v>40105</v>
      </c>
      <c r="G2605" s="11">
        <v>2594.4899999999998</v>
      </c>
      <c r="H2605" s="11">
        <v>2594.4899999999998</v>
      </c>
      <c r="I2605" s="4" t="s">
        <v>366</v>
      </c>
      <c r="J2605" s="4" t="s">
        <v>367</v>
      </c>
      <c r="K2605" s="11">
        <v>0</v>
      </c>
      <c r="L2605" s="4"/>
      <c r="M2605" s="4"/>
      <c r="N2605" s="11">
        <v>0</v>
      </c>
      <c r="O2605" s="4"/>
      <c r="P2605" s="4"/>
      <c r="Q2605" s="11">
        <v>0</v>
      </c>
      <c r="R2605" s="4"/>
      <c r="S2605" s="12"/>
    </row>
    <row r="2606" spans="1:19" x14ac:dyDescent="0.25">
      <c r="A2606" s="9" t="s">
        <v>843</v>
      </c>
      <c r="B2606" s="9" t="s">
        <v>843</v>
      </c>
      <c r="C2606" s="4">
        <v>201000256</v>
      </c>
      <c r="D2606" s="4"/>
      <c r="E2606" s="4" t="str">
        <f>"004392010"</f>
        <v>004392010</v>
      </c>
      <c r="F2606" s="10">
        <v>40105</v>
      </c>
      <c r="G2606" s="11">
        <v>3182.73</v>
      </c>
      <c r="H2606" s="11">
        <v>3182.73</v>
      </c>
      <c r="I2606" s="4" t="s">
        <v>366</v>
      </c>
      <c r="J2606" s="4" t="s">
        <v>367</v>
      </c>
      <c r="K2606" s="11">
        <v>0</v>
      </c>
      <c r="L2606" s="4"/>
      <c r="M2606" s="4"/>
      <c r="N2606" s="11">
        <v>0</v>
      </c>
      <c r="O2606" s="4"/>
      <c r="P2606" s="4"/>
      <c r="Q2606" s="11">
        <v>0</v>
      </c>
      <c r="R2606" s="4"/>
      <c r="S2606" s="12"/>
    </row>
    <row r="2607" spans="1:19" x14ac:dyDescent="0.25">
      <c r="A2607" s="9" t="s">
        <v>843</v>
      </c>
      <c r="B2607" s="9" t="s">
        <v>843</v>
      </c>
      <c r="C2607" s="4">
        <v>201000260</v>
      </c>
      <c r="D2607" s="4"/>
      <c r="E2607" s="4" t="str">
        <f>"004652010"</f>
        <v>004652010</v>
      </c>
      <c r="F2607" s="10">
        <v>40106</v>
      </c>
      <c r="G2607" s="11">
        <v>2947</v>
      </c>
      <c r="H2607" s="11">
        <v>2947</v>
      </c>
      <c r="I2607" s="4" t="s">
        <v>366</v>
      </c>
      <c r="J2607" s="4" t="s">
        <v>367</v>
      </c>
      <c r="K2607" s="11">
        <v>0</v>
      </c>
      <c r="L2607" s="4"/>
      <c r="M2607" s="4"/>
      <c r="N2607" s="11">
        <v>0</v>
      </c>
      <c r="O2607" s="4"/>
      <c r="P2607" s="4"/>
      <c r="Q2607" s="11">
        <v>0</v>
      </c>
      <c r="R2607" s="4"/>
      <c r="S2607" s="12"/>
    </row>
    <row r="2608" spans="1:19" x14ac:dyDescent="0.25">
      <c r="A2608" s="9" t="s">
        <v>843</v>
      </c>
      <c r="B2608" s="9" t="s">
        <v>843</v>
      </c>
      <c r="C2608" s="4">
        <v>201000312</v>
      </c>
      <c r="D2608" s="4"/>
      <c r="E2608" s="4" t="str">
        <f>"006872010"</f>
        <v>006872010</v>
      </c>
      <c r="F2608" s="10">
        <v>40115</v>
      </c>
      <c r="G2608" s="11">
        <v>3770</v>
      </c>
      <c r="H2608" s="11">
        <v>3770</v>
      </c>
      <c r="I2608" s="4" t="s">
        <v>366</v>
      </c>
      <c r="J2608" s="4" t="s">
        <v>367</v>
      </c>
      <c r="K2608" s="11">
        <v>0</v>
      </c>
      <c r="L2608" s="4"/>
      <c r="M2608" s="4"/>
      <c r="N2608" s="11">
        <v>0</v>
      </c>
      <c r="O2608" s="4"/>
      <c r="P2608" s="4"/>
      <c r="Q2608" s="11">
        <v>0</v>
      </c>
      <c r="R2608" s="4"/>
      <c r="S2608" s="12"/>
    </row>
    <row r="2609" spans="1:19" x14ac:dyDescent="0.25">
      <c r="A2609" s="9" t="s">
        <v>843</v>
      </c>
      <c r="B2609" s="9" t="s">
        <v>843</v>
      </c>
      <c r="C2609" s="4">
        <v>201000345</v>
      </c>
      <c r="D2609" s="4"/>
      <c r="E2609" s="4" t="str">
        <f>"006232010"</f>
        <v>006232010</v>
      </c>
      <c r="F2609" s="10">
        <v>40112</v>
      </c>
      <c r="G2609" s="11">
        <v>3700</v>
      </c>
      <c r="H2609" s="11">
        <v>3700</v>
      </c>
      <c r="I2609" s="4" t="s">
        <v>366</v>
      </c>
      <c r="J2609" s="4" t="s">
        <v>367</v>
      </c>
      <c r="K2609" s="11">
        <v>0</v>
      </c>
      <c r="L2609" s="4"/>
      <c r="M2609" s="4"/>
      <c r="N2609" s="11">
        <v>0</v>
      </c>
      <c r="O2609" s="4"/>
      <c r="P2609" s="4"/>
      <c r="Q2609" s="11">
        <v>0</v>
      </c>
      <c r="R2609" s="4"/>
      <c r="S2609" s="12"/>
    </row>
    <row r="2610" spans="1:19" x14ac:dyDescent="0.25">
      <c r="A2610" s="9" t="s">
        <v>843</v>
      </c>
      <c r="B2610" s="9" t="s">
        <v>843</v>
      </c>
      <c r="C2610" s="4">
        <v>201000401</v>
      </c>
      <c r="D2610" s="4"/>
      <c r="E2610" s="4" t="str">
        <f>"007612010"</f>
        <v>007612010</v>
      </c>
      <c r="F2610" s="10">
        <v>40119</v>
      </c>
      <c r="G2610" s="11">
        <v>3694.07</v>
      </c>
      <c r="H2610" s="11">
        <v>3694.07</v>
      </c>
      <c r="I2610" s="4" t="s">
        <v>366</v>
      </c>
      <c r="J2610" s="4" t="s">
        <v>367</v>
      </c>
      <c r="K2610" s="11">
        <v>0</v>
      </c>
      <c r="L2610" s="4"/>
      <c r="M2610" s="4"/>
      <c r="N2610" s="11">
        <v>0</v>
      </c>
      <c r="O2610" s="4"/>
      <c r="P2610" s="4"/>
      <c r="Q2610" s="11">
        <v>0</v>
      </c>
      <c r="R2610" s="4"/>
      <c r="S2610" s="12"/>
    </row>
    <row r="2611" spans="1:19" x14ac:dyDescent="0.25">
      <c r="A2611" s="9" t="s">
        <v>843</v>
      </c>
      <c r="B2611" s="9" t="s">
        <v>843</v>
      </c>
      <c r="C2611" s="4">
        <v>201000412</v>
      </c>
      <c r="D2611" s="4"/>
      <c r="E2611" s="4" t="str">
        <f>"008992010"</f>
        <v>008992010</v>
      </c>
      <c r="F2611" s="10">
        <v>40122</v>
      </c>
      <c r="G2611" s="11">
        <v>9460.77</v>
      </c>
      <c r="H2611" s="11">
        <v>9460.77</v>
      </c>
      <c r="I2611" s="4" t="s">
        <v>366</v>
      </c>
      <c r="J2611" s="4" t="s">
        <v>367</v>
      </c>
      <c r="K2611" s="11">
        <v>0</v>
      </c>
      <c r="L2611" s="4"/>
      <c r="M2611" s="4"/>
      <c r="N2611" s="11">
        <v>0</v>
      </c>
      <c r="O2611" s="4"/>
      <c r="P2611" s="4"/>
      <c r="Q2611" s="11">
        <v>0</v>
      </c>
      <c r="R2611" s="4"/>
      <c r="S2611" s="12"/>
    </row>
    <row r="2612" spans="1:19" x14ac:dyDescent="0.25">
      <c r="A2612" s="9" t="s">
        <v>843</v>
      </c>
      <c r="B2612" s="9" t="s">
        <v>843</v>
      </c>
      <c r="C2612" s="4">
        <v>201000434</v>
      </c>
      <c r="D2612" s="4" t="s">
        <v>2383</v>
      </c>
      <c r="E2612" s="4" t="str">
        <f>"008012010"</f>
        <v>008012010</v>
      </c>
      <c r="F2612" s="10">
        <v>40116</v>
      </c>
      <c r="G2612" s="11">
        <v>2914.88</v>
      </c>
      <c r="H2612" s="11">
        <v>2914.88</v>
      </c>
      <c r="I2612" s="4" t="s">
        <v>366</v>
      </c>
      <c r="J2612" s="4" t="s">
        <v>367</v>
      </c>
      <c r="K2612" s="11">
        <v>0</v>
      </c>
      <c r="L2612" s="4"/>
      <c r="M2612" s="4"/>
      <c r="N2612" s="11">
        <v>0</v>
      </c>
      <c r="O2612" s="4"/>
      <c r="P2612" s="4"/>
      <c r="Q2612" s="11">
        <v>0</v>
      </c>
      <c r="R2612" s="4"/>
      <c r="S2612" s="12"/>
    </row>
    <row r="2613" spans="1:19" x14ac:dyDescent="0.25">
      <c r="A2613" s="9" t="s">
        <v>843</v>
      </c>
      <c r="B2613" s="9" t="s">
        <v>843</v>
      </c>
      <c r="C2613" s="4">
        <v>201000442</v>
      </c>
      <c r="D2613" s="4"/>
      <c r="E2613" s="4" t="str">
        <f>"009092010"</f>
        <v>009092010</v>
      </c>
      <c r="F2613" s="10">
        <v>40122</v>
      </c>
      <c r="G2613" s="11">
        <v>3161.83</v>
      </c>
      <c r="H2613" s="11">
        <v>3161.83</v>
      </c>
      <c r="I2613" s="4" t="s">
        <v>366</v>
      </c>
      <c r="J2613" s="4" t="s">
        <v>367</v>
      </c>
      <c r="K2613" s="11">
        <v>0</v>
      </c>
      <c r="L2613" s="4"/>
      <c r="M2613" s="4"/>
      <c r="N2613" s="11">
        <v>0</v>
      </c>
      <c r="O2613" s="4"/>
      <c r="P2613" s="4"/>
      <c r="Q2613" s="11">
        <v>0</v>
      </c>
      <c r="R2613" s="4"/>
      <c r="S2613" s="12"/>
    </row>
    <row r="2614" spans="1:19" x14ac:dyDescent="0.25">
      <c r="A2614" s="9" t="s">
        <v>843</v>
      </c>
      <c r="B2614" s="9" t="s">
        <v>843</v>
      </c>
      <c r="C2614" s="4">
        <v>201000481</v>
      </c>
      <c r="D2614" s="4"/>
      <c r="E2614" s="4" t="str">
        <f>"009652010"</f>
        <v>009652010</v>
      </c>
      <c r="F2614" s="10">
        <v>40123</v>
      </c>
      <c r="G2614" s="11">
        <v>4946.72</v>
      </c>
      <c r="H2614" s="11">
        <v>4946.72</v>
      </c>
      <c r="I2614" s="4" t="s">
        <v>366</v>
      </c>
      <c r="J2614" s="4" t="s">
        <v>367</v>
      </c>
      <c r="K2614" s="11">
        <v>0</v>
      </c>
      <c r="L2614" s="4"/>
      <c r="M2614" s="4"/>
      <c r="N2614" s="11">
        <v>0</v>
      </c>
      <c r="O2614" s="4"/>
      <c r="P2614" s="4"/>
      <c r="Q2614" s="11">
        <v>0</v>
      </c>
      <c r="R2614" s="4"/>
      <c r="S2614" s="12"/>
    </row>
    <row r="2615" spans="1:19" x14ac:dyDescent="0.25">
      <c r="A2615" s="9" t="s">
        <v>843</v>
      </c>
      <c r="B2615" s="9" t="s">
        <v>843</v>
      </c>
      <c r="C2615" s="4">
        <v>201000503</v>
      </c>
      <c r="D2615" s="4" t="s">
        <v>2384</v>
      </c>
      <c r="E2615" s="4" t="str">
        <f>"009292010"</f>
        <v>009292010</v>
      </c>
      <c r="F2615" s="10">
        <v>40122</v>
      </c>
      <c r="G2615" s="11">
        <v>13461.6</v>
      </c>
      <c r="H2615" s="11">
        <v>13461.6</v>
      </c>
      <c r="I2615" s="4" t="s">
        <v>366</v>
      </c>
      <c r="J2615" s="4" t="s">
        <v>367</v>
      </c>
      <c r="K2615" s="11">
        <v>0</v>
      </c>
      <c r="L2615" s="4"/>
      <c r="M2615" s="4"/>
      <c r="N2615" s="11">
        <v>0</v>
      </c>
      <c r="O2615" s="4"/>
      <c r="P2615" s="4"/>
      <c r="Q2615" s="11">
        <v>0</v>
      </c>
      <c r="R2615" s="4"/>
      <c r="S2615" s="12"/>
    </row>
    <row r="2616" spans="1:19" x14ac:dyDescent="0.25">
      <c r="A2616" s="9" t="s">
        <v>843</v>
      </c>
      <c r="B2616" s="9" t="s">
        <v>843</v>
      </c>
      <c r="C2616" s="4">
        <v>201000515</v>
      </c>
      <c r="D2616" s="4" t="s">
        <v>2385</v>
      </c>
      <c r="E2616" s="4" t="str">
        <f>"009732010"</f>
        <v>009732010</v>
      </c>
      <c r="F2616" s="10">
        <v>40122</v>
      </c>
      <c r="G2616" s="11">
        <v>9972.69</v>
      </c>
      <c r="H2616" s="11">
        <v>9972.69</v>
      </c>
      <c r="I2616" s="4" t="s">
        <v>366</v>
      </c>
      <c r="J2616" s="4" t="s">
        <v>367</v>
      </c>
      <c r="K2616" s="11">
        <v>0</v>
      </c>
      <c r="L2616" s="4"/>
      <c r="M2616" s="4"/>
      <c r="N2616" s="11">
        <v>0</v>
      </c>
      <c r="O2616" s="4"/>
      <c r="P2616" s="4"/>
      <c r="Q2616" s="11">
        <v>0</v>
      </c>
      <c r="R2616" s="4"/>
      <c r="S2616" s="12"/>
    </row>
    <row r="2617" spans="1:19" x14ac:dyDescent="0.25">
      <c r="A2617" s="9" t="s">
        <v>843</v>
      </c>
      <c r="B2617" s="9" t="s">
        <v>843</v>
      </c>
      <c r="C2617" s="4">
        <v>201000517</v>
      </c>
      <c r="D2617" s="4"/>
      <c r="E2617" s="4" t="str">
        <f>"009492010"</f>
        <v>009492010</v>
      </c>
      <c r="F2617" s="10">
        <v>40122</v>
      </c>
      <c r="G2617" s="11">
        <v>2928.7</v>
      </c>
      <c r="H2617" s="11">
        <v>2928.7</v>
      </c>
      <c r="I2617" s="4" t="s">
        <v>366</v>
      </c>
      <c r="J2617" s="4" t="s">
        <v>367</v>
      </c>
      <c r="K2617" s="11">
        <v>0</v>
      </c>
      <c r="L2617" s="4"/>
      <c r="M2617" s="4"/>
      <c r="N2617" s="11">
        <v>0</v>
      </c>
      <c r="O2617" s="4"/>
      <c r="P2617" s="4"/>
      <c r="Q2617" s="11">
        <v>0</v>
      </c>
      <c r="R2617" s="4"/>
      <c r="S2617" s="12"/>
    </row>
    <row r="2618" spans="1:19" x14ac:dyDescent="0.25">
      <c r="A2618" s="9" t="s">
        <v>843</v>
      </c>
      <c r="B2618" s="9" t="s">
        <v>843</v>
      </c>
      <c r="C2618" s="4">
        <v>201000528</v>
      </c>
      <c r="D2618" s="4"/>
      <c r="E2618" s="4" t="str">
        <f>"009512010"</f>
        <v>009512010</v>
      </c>
      <c r="F2618" s="10">
        <v>40123</v>
      </c>
      <c r="G2618" s="11">
        <v>3026.69</v>
      </c>
      <c r="H2618" s="11">
        <v>3026.69</v>
      </c>
      <c r="I2618" s="4" t="s">
        <v>366</v>
      </c>
      <c r="J2618" s="4" t="s">
        <v>367</v>
      </c>
      <c r="K2618" s="11">
        <v>0</v>
      </c>
      <c r="L2618" s="4"/>
      <c r="M2618" s="4"/>
      <c r="N2618" s="11">
        <v>0</v>
      </c>
      <c r="O2618" s="4"/>
      <c r="P2618" s="4"/>
      <c r="Q2618" s="11">
        <v>0</v>
      </c>
      <c r="R2618" s="4"/>
      <c r="S2618" s="12"/>
    </row>
    <row r="2619" spans="1:19" x14ac:dyDescent="0.25">
      <c r="A2619" s="9" t="s">
        <v>843</v>
      </c>
      <c r="B2619" s="9" t="s">
        <v>843</v>
      </c>
      <c r="C2619" s="4">
        <v>201000540</v>
      </c>
      <c r="D2619" s="4"/>
      <c r="E2619" s="4" t="str">
        <f>"016232010"</f>
        <v>016232010</v>
      </c>
      <c r="F2619" s="10">
        <v>40148</v>
      </c>
      <c r="G2619" s="11">
        <v>7840.2</v>
      </c>
      <c r="H2619" s="11">
        <v>7840.2</v>
      </c>
      <c r="I2619" s="4" t="s">
        <v>366</v>
      </c>
      <c r="J2619" s="4" t="s">
        <v>367</v>
      </c>
      <c r="K2619" s="11">
        <v>0</v>
      </c>
      <c r="L2619" s="4"/>
      <c r="M2619" s="4"/>
      <c r="N2619" s="11">
        <v>0</v>
      </c>
      <c r="O2619" s="4"/>
      <c r="P2619" s="4"/>
      <c r="Q2619" s="11">
        <v>0</v>
      </c>
      <c r="R2619" s="4"/>
      <c r="S2619" s="12"/>
    </row>
    <row r="2620" spans="1:19" x14ac:dyDescent="0.25">
      <c r="A2620" s="9" t="s">
        <v>843</v>
      </c>
      <c r="B2620" s="9" t="s">
        <v>843</v>
      </c>
      <c r="C2620" s="4">
        <v>201000653</v>
      </c>
      <c r="D2620" s="4"/>
      <c r="E2620" s="4" t="str">
        <f>"012232010"</f>
        <v>012232010</v>
      </c>
      <c r="F2620" s="10">
        <v>40133</v>
      </c>
      <c r="G2620" s="11">
        <v>3303.95</v>
      </c>
      <c r="H2620" s="11">
        <v>3303.95</v>
      </c>
      <c r="I2620" s="4" t="s">
        <v>366</v>
      </c>
      <c r="J2620" s="4" t="s">
        <v>367</v>
      </c>
      <c r="K2620" s="11">
        <v>0</v>
      </c>
      <c r="L2620" s="4"/>
      <c r="M2620" s="4"/>
      <c r="N2620" s="11">
        <v>0</v>
      </c>
      <c r="O2620" s="4"/>
      <c r="P2620" s="4"/>
      <c r="Q2620" s="11">
        <v>0</v>
      </c>
      <c r="R2620" s="4"/>
      <c r="S2620" s="12"/>
    </row>
    <row r="2621" spans="1:19" x14ac:dyDescent="0.25">
      <c r="A2621" s="9" t="s">
        <v>843</v>
      </c>
      <c r="B2621" s="9" t="s">
        <v>843</v>
      </c>
      <c r="C2621" s="4">
        <v>201000656</v>
      </c>
      <c r="D2621" s="4"/>
      <c r="E2621" s="4" t="str">
        <f>"018332010"</f>
        <v>018332010</v>
      </c>
      <c r="F2621" s="10">
        <v>40151</v>
      </c>
      <c r="G2621" s="11">
        <v>5725.79</v>
      </c>
      <c r="H2621" s="11">
        <v>5725.79</v>
      </c>
      <c r="I2621" s="4" t="s">
        <v>366</v>
      </c>
      <c r="J2621" s="4" t="s">
        <v>367</v>
      </c>
      <c r="K2621" s="11">
        <v>0</v>
      </c>
      <c r="L2621" s="4"/>
      <c r="M2621" s="4"/>
      <c r="N2621" s="11">
        <v>0</v>
      </c>
      <c r="O2621" s="4"/>
      <c r="P2621" s="4"/>
      <c r="Q2621" s="11">
        <v>0</v>
      </c>
      <c r="R2621" s="4"/>
      <c r="S2621" s="12"/>
    </row>
    <row r="2622" spans="1:19" x14ac:dyDescent="0.25">
      <c r="A2622" s="9" t="s">
        <v>843</v>
      </c>
      <c r="B2622" s="9" t="s">
        <v>843</v>
      </c>
      <c r="C2622" s="4">
        <v>201000666</v>
      </c>
      <c r="D2622" s="4" t="s">
        <v>2386</v>
      </c>
      <c r="E2622" s="4" t="str">
        <f>"013842010"</f>
        <v>013842010</v>
      </c>
      <c r="F2622" s="10">
        <v>40141</v>
      </c>
      <c r="G2622" s="11">
        <v>4420</v>
      </c>
      <c r="H2622" s="11">
        <v>4420</v>
      </c>
      <c r="I2622" s="4" t="s">
        <v>366</v>
      </c>
      <c r="J2622" s="4" t="s">
        <v>367</v>
      </c>
      <c r="K2622" s="11">
        <v>0</v>
      </c>
      <c r="L2622" s="4"/>
      <c r="M2622" s="4"/>
      <c r="N2622" s="11">
        <v>0</v>
      </c>
      <c r="O2622" s="4"/>
      <c r="P2622" s="4"/>
      <c r="Q2622" s="11">
        <v>0</v>
      </c>
      <c r="R2622" s="4"/>
      <c r="S2622" s="12"/>
    </row>
    <row r="2623" spans="1:19" x14ac:dyDescent="0.25">
      <c r="A2623" s="9" t="s">
        <v>843</v>
      </c>
      <c r="B2623" s="9" t="s">
        <v>843</v>
      </c>
      <c r="C2623" s="4">
        <v>201000680</v>
      </c>
      <c r="D2623" s="4"/>
      <c r="E2623" s="4" t="str">
        <f>"012792010"</f>
        <v>012792010</v>
      </c>
      <c r="F2623" s="10">
        <v>40135</v>
      </c>
      <c r="G2623" s="11">
        <v>7870.74</v>
      </c>
      <c r="H2623" s="11">
        <v>7870.74</v>
      </c>
      <c r="I2623" s="4" t="s">
        <v>366</v>
      </c>
      <c r="J2623" s="4" t="s">
        <v>367</v>
      </c>
      <c r="K2623" s="11">
        <v>0</v>
      </c>
      <c r="L2623" s="4"/>
      <c r="M2623" s="4"/>
      <c r="N2623" s="11">
        <v>0</v>
      </c>
      <c r="O2623" s="4"/>
      <c r="P2623" s="4"/>
      <c r="Q2623" s="11">
        <v>0</v>
      </c>
      <c r="R2623" s="4"/>
      <c r="S2623" s="12"/>
    </row>
    <row r="2624" spans="1:19" x14ac:dyDescent="0.25">
      <c r="A2624" s="9" t="s">
        <v>843</v>
      </c>
      <c r="B2624" s="9" t="s">
        <v>843</v>
      </c>
      <c r="C2624" s="4">
        <v>201000750</v>
      </c>
      <c r="D2624" s="4" t="s">
        <v>2387</v>
      </c>
      <c r="E2624" s="4" t="str">
        <f>"013722010"</f>
        <v>013722010</v>
      </c>
      <c r="F2624" s="10">
        <v>40137</v>
      </c>
      <c r="G2624" s="11">
        <v>10000</v>
      </c>
      <c r="H2624" s="11">
        <v>10000</v>
      </c>
      <c r="I2624" s="4" t="s">
        <v>366</v>
      </c>
      <c r="J2624" s="4" t="s">
        <v>367</v>
      </c>
      <c r="K2624" s="11">
        <v>0</v>
      </c>
      <c r="L2624" s="4"/>
      <c r="M2624" s="4"/>
      <c r="N2624" s="11">
        <v>0</v>
      </c>
      <c r="O2624" s="4"/>
      <c r="P2624" s="4"/>
      <c r="Q2624" s="11">
        <v>0</v>
      </c>
      <c r="R2624" s="4"/>
      <c r="S2624" s="12"/>
    </row>
    <row r="2625" spans="1:19" x14ac:dyDescent="0.25">
      <c r="A2625" s="9" t="s">
        <v>843</v>
      </c>
      <c r="B2625" s="9" t="s">
        <v>843</v>
      </c>
      <c r="C2625" s="4">
        <v>201000853</v>
      </c>
      <c r="D2625" s="4"/>
      <c r="E2625" s="4" t="str">
        <f>"016432010"</f>
        <v>016432010</v>
      </c>
      <c r="F2625" s="10">
        <v>40149</v>
      </c>
      <c r="G2625" s="11">
        <v>7500</v>
      </c>
      <c r="H2625" s="11">
        <v>7500</v>
      </c>
      <c r="I2625" s="4" t="s">
        <v>366</v>
      </c>
      <c r="J2625" s="4" t="s">
        <v>367</v>
      </c>
      <c r="K2625" s="11">
        <v>0</v>
      </c>
      <c r="L2625" s="4"/>
      <c r="M2625" s="4"/>
      <c r="N2625" s="11">
        <v>0</v>
      </c>
      <c r="O2625" s="4"/>
      <c r="P2625" s="4"/>
      <c r="Q2625" s="11">
        <v>0</v>
      </c>
      <c r="R2625" s="4"/>
      <c r="S2625" s="12"/>
    </row>
    <row r="2626" spans="1:19" x14ac:dyDescent="0.25">
      <c r="A2626" s="9" t="s">
        <v>843</v>
      </c>
      <c r="B2626" s="9" t="s">
        <v>843</v>
      </c>
      <c r="C2626" s="4">
        <v>201000866</v>
      </c>
      <c r="D2626" s="4"/>
      <c r="E2626" s="4" t="str">
        <f>"027582010"</f>
        <v>027582010</v>
      </c>
      <c r="F2626" s="10">
        <v>40185</v>
      </c>
      <c r="G2626" s="11">
        <v>4442.79</v>
      </c>
      <c r="H2626" s="11">
        <v>4442.79</v>
      </c>
      <c r="I2626" s="4" t="s">
        <v>366</v>
      </c>
      <c r="J2626" s="4" t="s">
        <v>367</v>
      </c>
      <c r="K2626" s="11">
        <v>0</v>
      </c>
      <c r="L2626" s="4"/>
      <c r="M2626" s="4"/>
      <c r="N2626" s="11">
        <v>0</v>
      </c>
      <c r="O2626" s="4"/>
      <c r="P2626" s="4"/>
      <c r="Q2626" s="11">
        <v>0</v>
      </c>
      <c r="R2626" s="4"/>
      <c r="S2626" s="12"/>
    </row>
    <row r="2627" spans="1:19" x14ac:dyDescent="0.25">
      <c r="A2627" s="9" t="s">
        <v>843</v>
      </c>
      <c r="B2627" s="9" t="s">
        <v>843</v>
      </c>
      <c r="C2627" s="4">
        <v>201000890</v>
      </c>
      <c r="D2627" s="4"/>
      <c r="E2627" s="4" t="str">
        <f>"017022010"</f>
        <v>017022010</v>
      </c>
      <c r="F2627" s="10">
        <v>40149</v>
      </c>
      <c r="G2627" s="11">
        <v>8461.69</v>
      </c>
      <c r="H2627" s="11">
        <v>8461.69</v>
      </c>
      <c r="I2627" s="4" t="s">
        <v>366</v>
      </c>
      <c r="J2627" s="4" t="s">
        <v>367</v>
      </c>
      <c r="K2627" s="11">
        <v>0</v>
      </c>
      <c r="L2627" s="4"/>
      <c r="M2627" s="4"/>
      <c r="N2627" s="11">
        <v>0</v>
      </c>
      <c r="O2627" s="4"/>
      <c r="P2627" s="4"/>
      <c r="Q2627" s="11">
        <v>0</v>
      </c>
      <c r="R2627" s="4"/>
      <c r="S2627" s="12"/>
    </row>
    <row r="2628" spans="1:19" x14ac:dyDescent="0.25">
      <c r="A2628" s="9" t="s">
        <v>843</v>
      </c>
      <c r="B2628" s="9" t="s">
        <v>843</v>
      </c>
      <c r="C2628" s="4">
        <v>201000978</v>
      </c>
      <c r="D2628" s="4"/>
      <c r="E2628" s="4" t="str">
        <f>"018392010"</f>
        <v>018392010</v>
      </c>
      <c r="F2628" s="10">
        <v>40155</v>
      </c>
      <c r="G2628" s="11">
        <v>6428.87</v>
      </c>
      <c r="H2628" s="11">
        <v>6428.87</v>
      </c>
      <c r="I2628" s="4" t="s">
        <v>366</v>
      </c>
      <c r="J2628" s="4" t="s">
        <v>367</v>
      </c>
      <c r="K2628" s="11">
        <v>0</v>
      </c>
      <c r="L2628" s="4"/>
      <c r="M2628" s="4"/>
      <c r="N2628" s="11">
        <v>0</v>
      </c>
      <c r="O2628" s="4"/>
      <c r="P2628" s="4"/>
      <c r="Q2628" s="11">
        <v>0</v>
      </c>
      <c r="R2628" s="4"/>
      <c r="S2628" s="12"/>
    </row>
    <row r="2629" spans="1:19" x14ac:dyDescent="0.25">
      <c r="A2629" s="9" t="s">
        <v>843</v>
      </c>
      <c r="B2629" s="9" t="s">
        <v>843</v>
      </c>
      <c r="C2629" s="4">
        <v>201001003</v>
      </c>
      <c r="D2629" s="4"/>
      <c r="E2629" s="4" t="str">
        <f>"018972010"</f>
        <v>018972010</v>
      </c>
      <c r="F2629" s="10">
        <v>40155</v>
      </c>
      <c r="G2629" s="11">
        <v>2759.97</v>
      </c>
      <c r="H2629" s="11">
        <v>2759.97</v>
      </c>
      <c r="I2629" s="4" t="s">
        <v>366</v>
      </c>
      <c r="J2629" s="4" t="s">
        <v>367</v>
      </c>
      <c r="K2629" s="11">
        <v>0</v>
      </c>
      <c r="L2629" s="4"/>
      <c r="M2629" s="4"/>
      <c r="N2629" s="11">
        <v>0</v>
      </c>
      <c r="O2629" s="4"/>
      <c r="P2629" s="4"/>
      <c r="Q2629" s="11">
        <v>0</v>
      </c>
      <c r="R2629" s="4"/>
      <c r="S2629" s="12"/>
    </row>
    <row r="2630" spans="1:19" x14ac:dyDescent="0.25">
      <c r="A2630" s="9" t="s">
        <v>843</v>
      </c>
      <c r="B2630" s="9" t="s">
        <v>843</v>
      </c>
      <c r="C2630" s="4">
        <v>201001073</v>
      </c>
      <c r="D2630" s="4"/>
      <c r="E2630" s="4" t="str">
        <f>"021772010"</f>
        <v>021772010</v>
      </c>
      <c r="F2630" s="10">
        <v>40161</v>
      </c>
      <c r="G2630" s="11">
        <v>3067.34</v>
      </c>
      <c r="H2630" s="11">
        <v>3067.34</v>
      </c>
      <c r="I2630" s="4" t="s">
        <v>366</v>
      </c>
      <c r="J2630" s="4" t="s">
        <v>367</v>
      </c>
      <c r="K2630" s="11">
        <v>0</v>
      </c>
      <c r="L2630" s="4"/>
      <c r="M2630" s="4"/>
      <c r="N2630" s="11">
        <v>0</v>
      </c>
      <c r="O2630" s="4"/>
      <c r="P2630" s="4"/>
      <c r="Q2630" s="11">
        <v>0</v>
      </c>
      <c r="R2630" s="4"/>
      <c r="S2630" s="12"/>
    </row>
    <row r="2631" spans="1:19" x14ac:dyDescent="0.25">
      <c r="A2631" s="9" t="s">
        <v>843</v>
      </c>
      <c r="B2631" s="9" t="s">
        <v>843</v>
      </c>
      <c r="C2631" s="4">
        <v>201001115</v>
      </c>
      <c r="D2631" s="4"/>
      <c r="E2631" s="4" t="str">
        <f>"021912010"</f>
        <v>021912010</v>
      </c>
      <c r="F2631" s="10">
        <v>40161</v>
      </c>
      <c r="G2631" s="11">
        <v>20000</v>
      </c>
      <c r="H2631" s="11">
        <v>20000</v>
      </c>
      <c r="I2631" s="4" t="s">
        <v>366</v>
      </c>
      <c r="J2631" s="4" t="s">
        <v>367</v>
      </c>
      <c r="K2631" s="11">
        <v>0</v>
      </c>
      <c r="L2631" s="4"/>
      <c r="M2631" s="4"/>
      <c r="N2631" s="11">
        <v>0</v>
      </c>
      <c r="O2631" s="4"/>
      <c r="P2631" s="4"/>
      <c r="Q2631" s="11">
        <v>0</v>
      </c>
      <c r="R2631" s="4"/>
      <c r="S2631" s="12"/>
    </row>
    <row r="2632" spans="1:19" x14ac:dyDescent="0.25">
      <c r="A2632" s="9" t="s">
        <v>843</v>
      </c>
      <c r="B2632" s="9" t="s">
        <v>843</v>
      </c>
      <c r="C2632" s="4">
        <v>201001165</v>
      </c>
      <c r="D2632" s="4" t="s">
        <v>2388</v>
      </c>
      <c r="E2632" s="4" t="str">
        <f>"022852010"</f>
        <v>022852010</v>
      </c>
      <c r="F2632" s="10">
        <v>40165</v>
      </c>
      <c r="G2632" s="11">
        <v>9594.26</v>
      </c>
      <c r="H2632" s="11">
        <v>9594.26</v>
      </c>
      <c r="I2632" s="4" t="s">
        <v>366</v>
      </c>
      <c r="J2632" s="4" t="s">
        <v>367</v>
      </c>
      <c r="K2632" s="11">
        <v>0</v>
      </c>
      <c r="L2632" s="4"/>
      <c r="M2632" s="4"/>
      <c r="N2632" s="11">
        <v>0</v>
      </c>
      <c r="O2632" s="4"/>
      <c r="P2632" s="4"/>
      <c r="Q2632" s="11">
        <v>0</v>
      </c>
      <c r="R2632" s="4"/>
      <c r="S2632" s="12"/>
    </row>
    <row r="2633" spans="1:19" x14ac:dyDescent="0.25">
      <c r="A2633" s="9" t="s">
        <v>843</v>
      </c>
      <c r="B2633" s="9" t="s">
        <v>843</v>
      </c>
      <c r="C2633" s="4">
        <v>201001174</v>
      </c>
      <c r="D2633" s="4" t="s">
        <v>2389</v>
      </c>
      <c r="E2633" s="4" t="str">
        <f>"022902010"</f>
        <v>022902010</v>
      </c>
      <c r="F2633" s="10">
        <v>40165</v>
      </c>
      <c r="G2633" s="11">
        <v>4284.18</v>
      </c>
      <c r="H2633" s="11">
        <v>4284.18</v>
      </c>
      <c r="I2633" s="4" t="s">
        <v>366</v>
      </c>
      <c r="J2633" s="4" t="s">
        <v>367</v>
      </c>
      <c r="K2633" s="11">
        <v>0</v>
      </c>
      <c r="L2633" s="4"/>
      <c r="M2633" s="4"/>
      <c r="N2633" s="11">
        <v>0</v>
      </c>
      <c r="O2633" s="4"/>
      <c r="P2633" s="4"/>
      <c r="Q2633" s="11">
        <v>0</v>
      </c>
      <c r="R2633" s="4"/>
      <c r="S2633" s="12"/>
    </row>
    <row r="2634" spans="1:19" x14ac:dyDescent="0.25">
      <c r="A2634" s="9" t="s">
        <v>843</v>
      </c>
      <c r="B2634" s="9" t="s">
        <v>843</v>
      </c>
      <c r="C2634" s="4">
        <v>201001188</v>
      </c>
      <c r="D2634" s="4"/>
      <c r="E2634" s="4" t="str">
        <f>"023092010"</f>
        <v>023092010</v>
      </c>
      <c r="F2634" s="10">
        <v>40165</v>
      </c>
      <c r="G2634" s="11">
        <v>6029.15</v>
      </c>
      <c r="H2634" s="11">
        <v>6029.15</v>
      </c>
      <c r="I2634" s="4" t="s">
        <v>366</v>
      </c>
      <c r="J2634" s="4" t="s">
        <v>367</v>
      </c>
      <c r="K2634" s="11">
        <v>0</v>
      </c>
      <c r="L2634" s="4"/>
      <c r="M2634" s="4"/>
      <c r="N2634" s="11">
        <v>0</v>
      </c>
      <c r="O2634" s="4"/>
      <c r="P2634" s="4"/>
      <c r="Q2634" s="11">
        <v>0</v>
      </c>
      <c r="R2634" s="4"/>
      <c r="S2634" s="12"/>
    </row>
    <row r="2635" spans="1:19" x14ac:dyDescent="0.25">
      <c r="A2635" s="9" t="s">
        <v>843</v>
      </c>
      <c r="B2635" s="9" t="s">
        <v>843</v>
      </c>
      <c r="C2635" s="4">
        <v>201001194</v>
      </c>
      <c r="D2635" s="4" t="s">
        <v>2388</v>
      </c>
      <c r="E2635" s="4" t="str">
        <f>"023332010"</f>
        <v>023332010</v>
      </c>
      <c r="F2635" s="10">
        <v>40165</v>
      </c>
      <c r="G2635" s="11">
        <v>4477</v>
      </c>
      <c r="H2635" s="11">
        <v>4477</v>
      </c>
      <c r="I2635" s="4" t="s">
        <v>366</v>
      </c>
      <c r="J2635" s="4" t="s">
        <v>367</v>
      </c>
      <c r="K2635" s="11">
        <v>0</v>
      </c>
      <c r="L2635" s="4"/>
      <c r="M2635" s="4"/>
      <c r="N2635" s="11">
        <v>0</v>
      </c>
      <c r="O2635" s="4"/>
      <c r="P2635" s="4"/>
      <c r="Q2635" s="11">
        <v>0</v>
      </c>
      <c r="R2635" s="4"/>
      <c r="S2635" s="12"/>
    </row>
    <row r="2636" spans="1:19" x14ac:dyDescent="0.25">
      <c r="A2636" s="9" t="s">
        <v>843</v>
      </c>
      <c r="B2636" s="9" t="s">
        <v>843</v>
      </c>
      <c r="C2636" s="4">
        <v>201001242</v>
      </c>
      <c r="D2636" s="4"/>
      <c r="E2636" s="4" t="str">
        <f>"025432010"</f>
        <v>025432010</v>
      </c>
      <c r="F2636" s="10">
        <v>40177</v>
      </c>
      <c r="G2636" s="11">
        <v>3028</v>
      </c>
      <c r="H2636" s="11">
        <v>3028</v>
      </c>
      <c r="I2636" s="4" t="s">
        <v>366</v>
      </c>
      <c r="J2636" s="4" t="s">
        <v>367</v>
      </c>
      <c r="K2636" s="11">
        <v>0</v>
      </c>
      <c r="L2636" s="4"/>
      <c r="M2636" s="4"/>
      <c r="N2636" s="11">
        <v>0</v>
      </c>
      <c r="O2636" s="4"/>
      <c r="P2636" s="4"/>
      <c r="Q2636" s="11">
        <v>0</v>
      </c>
      <c r="R2636" s="4"/>
      <c r="S2636" s="12"/>
    </row>
    <row r="2637" spans="1:19" x14ac:dyDescent="0.25">
      <c r="A2637" s="9" t="s">
        <v>843</v>
      </c>
      <c r="B2637" s="9" t="s">
        <v>843</v>
      </c>
      <c r="C2637" s="4">
        <v>201001363</v>
      </c>
      <c r="D2637" s="4"/>
      <c r="E2637" s="4" t="str">
        <f>"026312010"</f>
        <v>026312010</v>
      </c>
      <c r="F2637" s="10">
        <v>40192</v>
      </c>
      <c r="G2637" s="11">
        <v>4305.24</v>
      </c>
      <c r="H2637" s="11">
        <v>4305.24</v>
      </c>
      <c r="I2637" s="4" t="s">
        <v>366</v>
      </c>
      <c r="J2637" s="4" t="s">
        <v>367</v>
      </c>
      <c r="K2637" s="11">
        <v>0</v>
      </c>
      <c r="L2637" s="4"/>
      <c r="M2637" s="4"/>
      <c r="N2637" s="11">
        <v>0</v>
      </c>
      <c r="O2637" s="4"/>
      <c r="P2637" s="4"/>
      <c r="Q2637" s="11">
        <v>0</v>
      </c>
      <c r="R2637" s="4"/>
      <c r="S2637" s="12"/>
    </row>
    <row r="2638" spans="1:19" x14ac:dyDescent="0.25">
      <c r="A2638" s="9" t="s">
        <v>843</v>
      </c>
      <c r="B2638" s="9" t="s">
        <v>843</v>
      </c>
      <c r="C2638" s="4">
        <v>201001394</v>
      </c>
      <c r="D2638" s="4" t="s">
        <v>2390</v>
      </c>
      <c r="E2638" s="4" t="str">
        <f>"026852010"</f>
        <v>026852010</v>
      </c>
      <c r="F2638" s="10">
        <v>40185</v>
      </c>
      <c r="G2638" s="11">
        <v>2753.65</v>
      </c>
      <c r="H2638" s="11">
        <v>2753.65</v>
      </c>
      <c r="I2638" s="4" t="s">
        <v>366</v>
      </c>
      <c r="J2638" s="4" t="s">
        <v>367</v>
      </c>
      <c r="K2638" s="11">
        <v>0</v>
      </c>
      <c r="L2638" s="4"/>
      <c r="M2638" s="4"/>
      <c r="N2638" s="11">
        <v>0</v>
      </c>
      <c r="O2638" s="4"/>
      <c r="P2638" s="4"/>
      <c r="Q2638" s="11">
        <v>0</v>
      </c>
      <c r="R2638" s="4"/>
      <c r="S2638" s="12"/>
    </row>
    <row r="2639" spans="1:19" x14ac:dyDescent="0.25">
      <c r="A2639" s="9" t="s">
        <v>843</v>
      </c>
      <c r="B2639" s="9" t="s">
        <v>843</v>
      </c>
      <c r="C2639" s="4">
        <v>201001395</v>
      </c>
      <c r="D2639" s="4"/>
      <c r="E2639" s="4" t="str">
        <f>"028002010"</f>
        <v>028002010</v>
      </c>
      <c r="F2639" s="10">
        <v>40185</v>
      </c>
      <c r="G2639" s="11">
        <v>5270.82</v>
      </c>
      <c r="H2639" s="11">
        <v>5270.82</v>
      </c>
      <c r="I2639" s="4" t="s">
        <v>366</v>
      </c>
      <c r="J2639" s="4" t="s">
        <v>367</v>
      </c>
      <c r="K2639" s="11">
        <v>0</v>
      </c>
      <c r="L2639" s="4"/>
      <c r="M2639" s="4"/>
      <c r="N2639" s="11">
        <v>0</v>
      </c>
      <c r="O2639" s="4"/>
      <c r="P2639" s="4"/>
      <c r="Q2639" s="11">
        <v>0</v>
      </c>
      <c r="R2639" s="4"/>
      <c r="S2639" s="12"/>
    </row>
    <row r="2640" spans="1:19" x14ac:dyDescent="0.25">
      <c r="A2640" s="9" t="s">
        <v>843</v>
      </c>
      <c r="B2640" s="9" t="s">
        <v>843</v>
      </c>
      <c r="C2640" s="4">
        <v>201001443</v>
      </c>
      <c r="D2640" s="4"/>
      <c r="E2640" s="4" t="str">
        <f>"028022010"</f>
        <v>028022010</v>
      </c>
      <c r="F2640" s="10">
        <v>40185</v>
      </c>
      <c r="G2640" s="11">
        <v>6923</v>
      </c>
      <c r="H2640" s="11">
        <v>6923</v>
      </c>
      <c r="I2640" s="4" t="s">
        <v>366</v>
      </c>
      <c r="J2640" s="4" t="s">
        <v>367</v>
      </c>
      <c r="K2640" s="11">
        <v>0</v>
      </c>
      <c r="L2640" s="4"/>
      <c r="M2640" s="4"/>
      <c r="N2640" s="11">
        <v>0</v>
      </c>
      <c r="O2640" s="4"/>
      <c r="P2640" s="4"/>
      <c r="Q2640" s="11">
        <v>0</v>
      </c>
      <c r="R2640" s="4"/>
      <c r="S2640" s="12"/>
    </row>
    <row r="2641" spans="1:19" x14ac:dyDescent="0.25">
      <c r="A2641" s="9" t="s">
        <v>843</v>
      </c>
      <c r="B2641" s="9" t="s">
        <v>843</v>
      </c>
      <c r="C2641" s="4">
        <v>201001446</v>
      </c>
      <c r="D2641" s="4"/>
      <c r="E2641" s="4" t="str">
        <f>"028582010"</f>
        <v>028582010</v>
      </c>
      <c r="F2641" s="10">
        <v>40186</v>
      </c>
      <c r="G2641" s="11">
        <v>2920.89</v>
      </c>
      <c r="H2641" s="11">
        <v>2920.89</v>
      </c>
      <c r="I2641" s="4" t="s">
        <v>366</v>
      </c>
      <c r="J2641" s="4" t="s">
        <v>367</v>
      </c>
      <c r="K2641" s="11">
        <v>0</v>
      </c>
      <c r="L2641" s="4"/>
      <c r="M2641" s="4"/>
      <c r="N2641" s="11">
        <v>0</v>
      </c>
      <c r="O2641" s="4"/>
      <c r="P2641" s="4"/>
      <c r="Q2641" s="11">
        <v>0</v>
      </c>
      <c r="R2641" s="4"/>
      <c r="S2641" s="12"/>
    </row>
    <row r="2642" spans="1:19" x14ac:dyDescent="0.25">
      <c r="A2642" s="9" t="s">
        <v>843</v>
      </c>
      <c r="B2642" s="9" t="s">
        <v>843</v>
      </c>
      <c r="C2642" s="4">
        <v>201001465</v>
      </c>
      <c r="D2642" s="4"/>
      <c r="E2642" s="4" t="str">
        <f>"028622010"</f>
        <v>028622010</v>
      </c>
      <c r="F2642" s="10">
        <v>40186</v>
      </c>
      <c r="G2642" s="11">
        <v>49885.06</v>
      </c>
      <c r="H2642" s="11">
        <v>49885.06</v>
      </c>
      <c r="I2642" s="4" t="s">
        <v>1752</v>
      </c>
      <c r="J2642" s="4" t="s">
        <v>1753</v>
      </c>
      <c r="K2642" s="11">
        <v>0</v>
      </c>
      <c r="L2642" s="4"/>
      <c r="M2642" s="4"/>
      <c r="N2642" s="11">
        <v>0</v>
      </c>
      <c r="O2642" s="4"/>
      <c r="P2642" s="4"/>
      <c r="Q2642" s="11">
        <v>0</v>
      </c>
      <c r="R2642" s="4"/>
      <c r="S2642" s="12"/>
    </row>
    <row r="2643" spans="1:19" x14ac:dyDescent="0.25">
      <c r="A2643" s="9" t="s">
        <v>843</v>
      </c>
      <c r="B2643" s="9" t="s">
        <v>843</v>
      </c>
      <c r="C2643" s="4">
        <v>201001468</v>
      </c>
      <c r="D2643" s="4"/>
      <c r="E2643" s="4" t="str">
        <f>"030752010"</f>
        <v>030752010</v>
      </c>
      <c r="F2643" s="10">
        <v>40193</v>
      </c>
      <c r="G2643" s="11">
        <v>3016.56</v>
      </c>
      <c r="H2643" s="11">
        <v>3016.56</v>
      </c>
      <c r="I2643" s="4" t="s">
        <v>366</v>
      </c>
      <c r="J2643" s="4" t="s">
        <v>367</v>
      </c>
      <c r="K2643" s="11">
        <v>0</v>
      </c>
      <c r="L2643" s="4"/>
      <c r="M2643" s="4"/>
      <c r="N2643" s="11">
        <v>0</v>
      </c>
      <c r="O2643" s="4"/>
      <c r="P2643" s="4"/>
      <c r="Q2643" s="11">
        <v>0</v>
      </c>
      <c r="R2643" s="4"/>
      <c r="S2643" s="12"/>
    </row>
    <row r="2644" spans="1:19" x14ac:dyDescent="0.25">
      <c r="A2644" s="9" t="s">
        <v>843</v>
      </c>
      <c r="B2644" s="9" t="s">
        <v>843</v>
      </c>
      <c r="C2644" s="4">
        <v>201001490</v>
      </c>
      <c r="D2644" s="4"/>
      <c r="E2644" s="4" t="str">
        <f>"082112010"</f>
        <v>082112010</v>
      </c>
      <c r="F2644" s="10">
        <v>40347</v>
      </c>
      <c r="G2644" s="11">
        <v>6920.21</v>
      </c>
      <c r="H2644" s="11">
        <v>6920.21</v>
      </c>
      <c r="I2644" s="4" t="s">
        <v>366</v>
      </c>
      <c r="J2644" s="4" t="s">
        <v>367</v>
      </c>
      <c r="K2644" s="11">
        <v>0</v>
      </c>
      <c r="L2644" s="4"/>
      <c r="M2644" s="4"/>
      <c r="N2644" s="11">
        <v>0</v>
      </c>
      <c r="O2644" s="4"/>
      <c r="P2644" s="4"/>
      <c r="Q2644" s="11">
        <v>0</v>
      </c>
      <c r="R2644" s="4"/>
      <c r="S2644" s="12"/>
    </row>
    <row r="2645" spans="1:19" x14ac:dyDescent="0.25">
      <c r="A2645" s="9" t="s">
        <v>843</v>
      </c>
      <c r="B2645" s="9" t="s">
        <v>843</v>
      </c>
      <c r="C2645" s="4">
        <v>201001711</v>
      </c>
      <c r="D2645" s="4"/>
      <c r="E2645" s="4" t="str">
        <f>"033142010"</f>
        <v>033142010</v>
      </c>
      <c r="F2645" s="10">
        <v>40203</v>
      </c>
      <c r="G2645" s="11">
        <v>10000</v>
      </c>
      <c r="H2645" s="11">
        <v>10000</v>
      </c>
      <c r="I2645" s="4" t="s">
        <v>366</v>
      </c>
      <c r="J2645" s="4" t="s">
        <v>367</v>
      </c>
      <c r="K2645" s="11">
        <v>0</v>
      </c>
      <c r="L2645" s="4"/>
      <c r="M2645" s="4"/>
      <c r="N2645" s="11">
        <v>0</v>
      </c>
      <c r="O2645" s="4"/>
      <c r="P2645" s="4"/>
      <c r="Q2645" s="11">
        <v>0</v>
      </c>
      <c r="R2645" s="4"/>
      <c r="S2645" s="12"/>
    </row>
    <row r="2646" spans="1:19" x14ac:dyDescent="0.25">
      <c r="A2646" s="9" t="s">
        <v>843</v>
      </c>
      <c r="B2646" s="9" t="s">
        <v>843</v>
      </c>
      <c r="C2646" s="4">
        <v>201001790</v>
      </c>
      <c r="D2646" s="4"/>
      <c r="E2646" s="4" t="str">
        <f>"048902010"</f>
        <v>048902010</v>
      </c>
      <c r="F2646" s="10">
        <v>40259</v>
      </c>
      <c r="G2646" s="11">
        <v>13495.76</v>
      </c>
      <c r="H2646" s="11">
        <v>13495.76</v>
      </c>
      <c r="I2646" s="4" t="s">
        <v>366</v>
      </c>
      <c r="J2646" s="4" t="s">
        <v>367</v>
      </c>
      <c r="K2646" s="11">
        <v>0</v>
      </c>
      <c r="L2646" s="4"/>
      <c r="M2646" s="4"/>
      <c r="N2646" s="11">
        <v>0</v>
      </c>
      <c r="O2646" s="4"/>
      <c r="P2646" s="4"/>
      <c r="Q2646" s="11">
        <v>0</v>
      </c>
      <c r="R2646" s="4"/>
      <c r="S2646" s="12"/>
    </row>
    <row r="2647" spans="1:19" x14ac:dyDescent="0.25">
      <c r="A2647" s="9" t="s">
        <v>843</v>
      </c>
      <c r="B2647" s="9" t="s">
        <v>843</v>
      </c>
      <c r="C2647" s="4">
        <v>201001804</v>
      </c>
      <c r="D2647" s="4" t="s">
        <v>2391</v>
      </c>
      <c r="E2647" s="4" t="str">
        <f>"035082010"</f>
        <v>035082010</v>
      </c>
      <c r="F2647" s="10">
        <v>40213</v>
      </c>
      <c r="G2647" s="11">
        <v>7545.66</v>
      </c>
      <c r="H2647" s="11">
        <v>7545.66</v>
      </c>
      <c r="I2647" s="4" t="s">
        <v>366</v>
      </c>
      <c r="J2647" s="4" t="s">
        <v>367</v>
      </c>
      <c r="K2647" s="11">
        <v>0</v>
      </c>
      <c r="L2647" s="4"/>
      <c r="M2647" s="4"/>
      <c r="N2647" s="11">
        <v>0</v>
      </c>
      <c r="O2647" s="4"/>
      <c r="P2647" s="4"/>
      <c r="Q2647" s="11">
        <v>0</v>
      </c>
      <c r="R2647" s="4"/>
      <c r="S2647" s="12"/>
    </row>
    <row r="2648" spans="1:19" x14ac:dyDescent="0.25">
      <c r="A2648" s="9" t="s">
        <v>843</v>
      </c>
      <c r="B2648" s="9" t="s">
        <v>843</v>
      </c>
      <c r="C2648" s="4">
        <v>201001807</v>
      </c>
      <c r="D2648" s="4"/>
      <c r="E2648" s="4" t="str">
        <f>"035122010"</f>
        <v>035122010</v>
      </c>
      <c r="F2648" s="10">
        <v>40212</v>
      </c>
      <c r="G2648" s="11">
        <v>2572.9</v>
      </c>
      <c r="H2648" s="11">
        <v>2572.9</v>
      </c>
      <c r="I2648" s="4" t="s">
        <v>366</v>
      </c>
      <c r="J2648" s="4" t="s">
        <v>367</v>
      </c>
      <c r="K2648" s="11">
        <v>0</v>
      </c>
      <c r="L2648" s="4"/>
      <c r="M2648" s="4"/>
      <c r="N2648" s="11">
        <v>0</v>
      </c>
      <c r="O2648" s="4"/>
      <c r="P2648" s="4"/>
      <c r="Q2648" s="11">
        <v>0</v>
      </c>
      <c r="R2648" s="4"/>
      <c r="S2648" s="12"/>
    </row>
    <row r="2649" spans="1:19" x14ac:dyDescent="0.25">
      <c r="A2649" s="9" t="s">
        <v>843</v>
      </c>
      <c r="B2649" s="9" t="s">
        <v>843</v>
      </c>
      <c r="C2649" s="4">
        <v>201001819</v>
      </c>
      <c r="D2649" s="4" t="s">
        <v>2392</v>
      </c>
      <c r="E2649" s="4" t="str">
        <f>"035282010"</f>
        <v>035282010</v>
      </c>
      <c r="F2649" s="10">
        <v>40213</v>
      </c>
      <c r="G2649" s="11">
        <v>30000</v>
      </c>
      <c r="H2649" s="11">
        <v>30000</v>
      </c>
      <c r="I2649" s="4" t="s">
        <v>366</v>
      </c>
      <c r="J2649" s="4" t="s">
        <v>367</v>
      </c>
      <c r="K2649" s="11">
        <v>0</v>
      </c>
      <c r="L2649" s="4"/>
      <c r="M2649" s="4"/>
      <c r="N2649" s="11">
        <v>0</v>
      </c>
      <c r="O2649" s="4"/>
      <c r="P2649" s="4"/>
      <c r="Q2649" s="11">
        <v>0</v>
      </c>
      <c r="R2649" s="4"/>
      <c r="S2649" s="12"/>
    </row>
    <row r="2650" spans="1:19" x14ac:dyDescent="0.25">
      <c r="A2650" s="9" t="s">
        <v>843</v>
      </c>
      <c r="B2650" s="9" t="s">
        <v>843</v>
      </c>
      <c r="C2650" s="4">
        <v>201001835</v>
      </c>
      <c r="D2650" s="4"/>
      <c r="E2650" s="4" t="str">
        <f>"037102010"</f>
        <v>037102010</v>
      </c>
      <c r="F2650" s="10">
        <v>40214</v>
      </c>
      <c r="G2650" s="11">
        <v>8599.02</v>
      </c>
      <c r="H2650" s="11">
        <v>8599.02</v>
      </c>
      <c r="I2650" s="4" t="s">
        <v>366</v>
      </c>
      <c r="J2650" s="4" t="s">
        <v>367</v>
      </c>
      <c r="K2650" s="11">
        <v>0</v>
      </c>
      <c r="L2650" s="4"/>
      <c r="M2650" s="4"/>
      <c r="N2650" s="11">
        <v>0</v>
      </c>
      <c r="O2650" s="4"/>
      <c r="P2650" s="4"/>
      <c r="Q2650" s="11">
        <v>0</v>
      </c>
      <c r="R2650" s="4"/>
      <c r="S2650" s="12"/>
    </row>
    <row r="2651" spans="1:19" x14ac:dyDescent="0.25">
      <c r="A2651" s="9" t="s">
        <v>843</v>
      </c>
      <c r="B2651" s="9" t="s">
        <v>843</v>
      </c>
      <c r="C2651" s="4">
        <v>201001858</v>
      </c>
      <c r="D2651" s="4"/>
      <c r="E2651" s="4" t="str">
        <f>"037002010"</f>
        <v>037002010</v>
      </c>
      <c r="F2651" s="10">
        <v>40214</v>
      </c>
      <c r="G2651" s="11">
        <v>10919.39</v>
      </c>
      <c r="H2651" s="11">
        <v>10919.39</v>
      </c>
      <c r="I2651" s="4" t="s">
        <v>366</v>
      </c>
      <c r="J2651" s="4" t="s">
        <v>367</v>
      </c>
      <c r="K2651" s="11">
        <v>0</v>
      </c>
      <c r="L2651" s="4"/>
      <c r="M2651" s="4"/>
      <c r="N2651" s="11">
        <v>0</v>
      </c>
      <c r="O2651" s="4"/>
      <c r="P2651" s="4"/>
      <c r="Q2651" s="11">
        <v>0</v>
      </c>
      <c r="R2651" s="4"/>
      <c r="S2651" s="12"/>
    </row>
    <row r="2652" spans="1:19" x14ac:dyDescent="0.25">
      <c r="A2652" s="9" t="s">
        <v>843</v>
      </c>
      <c r="B2652" s="9" t="s">
        <v>843</v>
      </c>
      <c r="C2652" s="4">
        <v>201001869</v>
      </c>
      <c r="D2652" s="4" t="s">
        <v>2393</v>
      </c>
      <c r="E2652" s="4" t="str">
        <f>"042192010"</f>
        <v>042192010</v>
      </c>
      <c r="F2652" s="10">
        <v>40241</v>
      </c>
      <c r="G2652" s="11">
        <v>5060.5</v>
      </c>
      <c r="H2652" s="11">
        <v>5060.5</v>
      </c>
      <c r="I2652" s="4" t="s">
        <v>366</v>
      </c>
      <c r="J2652" s="4" t="s">
        <v>367</v>
      </c>
      <c r="K2652" s="11">
        <v>0</v>
      </c>
      <c r="L2652" s="4"/>
      <c r="M2652" s="4"/>
      <c r="N2652" s="11">
        <v>0</v>
      </c>
      <c r="O2652" s="4"/>
      <c r="P2652" s="4"/>
      <c r="Q2652" s="11">
        <v>0</v>
      </c>
      <c r="R2652" s="4"/>
      <c r="S2652" s="12"/>
    </row>
    <row r="2653" spans="1:19" x14ac:dyDescent="0.25">
      <c r="A2653" s="9" t="s">
        <v>843</v>
      </c>
      <c r="B2653" s="9" t="s">
        <v>843</v>
      </c>
      <c r="C2653" s="4">
        <v>201001889</v>
      </c>
      <c r="D2653" s="4"/>
      <c r="E2653" s="4" t="str">
        <f>"037582010"</f>
        <v>037582010</v>
      </c>
      <c r="F2653" s="10">
        <v>40214</v>
      </c>
      <c r="G2653" s="11">
        <v>3997.44</v>
      </c>
      <c r="H2653" s="11">
        <v>3997.44</v>
      </c>
      <c r="I2653" s="4" t="s">
        <v>366</v>
      </c>
      <c r="J2653" s="4" t="s">
        <v>367</v>
      </c>
      <c r="K2653" s="11">
        <v>0</v>
      </c>
      <c r="L2653" s="4"/>
      <c r="M2653" s="4"/>
      <c r="N2653" s="11">
        <v>0</v>
      </c>
      <c r="O2653" s="4"/>
      <c r="P2653" s="4"/>
      <c r="Q2653" s="11">
        <v>0</v>
      </c>
      <c r="R2653" s="4"/>
      <c r="S2653" s="12"/>
    </row>
    <row r="2654" spans="1:19" x14ac:dyDescent="0.25">
      <c r="A2654" s="9" t="s">
        <v>843</v>
      </c>
      <c r="B2654" s="9" t="s">
        <v>843</v>
      </c>
      <c r="C2654" s="4">
        <v>201001891</v>
      </c>
      <c r="D2654" s="4"/>
      <c r="E2654" s="4" t="str">
        <f>"038372010"</f>
        <v>038372010</v>
      </c>
      <c r="F2654" s="10">
        <v>40227</v>
      </c>
      <c r="G2654" s="11">
        <v>4159.43</v>
      </c>
      <c r="H2654" s="11">
        <v>4159.43</v>
      </c>
      <c r="I2654" s="4" t="s">
        <v>366</v>
      </c>
      <c r="J2654" s="4" t="s">
        <v>367</v>
      </c>
      <c r="K2654" s="11">
        <v>0</v>
      </c>
      <c r="L2654" s="4"/>
      <c r="M2654" s="4"/>
      <c r="N2654" s="11">
        <v>0</v>
      </c>
      <c r="O2654" s="4"/>
      <c r="P2654" s="4"/>
      <c r="Q2654" s="11">
        <v>0</v>
      </c>
      <c r="R2654" s="4"/>
      <c r="S2654" s="12"/>
    </row>
    <row r="2655" spans="1:19" x14ac:dyDescent="0.25">
      <c r="A2655" s="9" t="s">
        <v>843</v>
      </c>
      <c r="B2655" s="9" t="s">
        <v>843</v>
      </c>
      <c r="C2655" s="4">
        <v>201001908</v>
      </c>
      <c r="D2655" s="4" t="s">
        <v>2394</v>
      </c>
      <c r="E2655" s="4" t="str">
        <f>"037262010"</f>
        <v>037262010</v>
      </c>
      <c r="F2655" s="10">
        <v>40214</v>
      </c>
      <c r="G2655" s="11">
        <v>50000</v>
      </c>
      <c r="H2655" s="11">
        <v>50000</v>
      </c>
      <c r="I2655" s="4" t="s">
        <v>366</v>
      </c>
      <c r="J2655" s="4" t="s">
        <v>367</v>
      </c>
      <c r="K2655" s="11">
        <v>0</v>
      </c>
      <c r="L2655" s="4"/>
      <c r="M2655" s="4"/>
      <c r="N2655" s="11">
        <v>0</v>
      </c>
      <c r="O2655" s="4"/>
      <c r="P2655" s="4"/>
      <c r="Q2655" s="11">
        <v>0</v>
      </c>
      <c r="R2655" s="4"/>
      <c r="S2655" s="12"/>
    </row>
    <row r="2656" spans="1:19" x14ac:dyDescent="0.25">
      <c r="A2656" s="9" t="s">
        <v>843</v>
      </c>
      <c r="B2656" s="9" t="s">
        <v>843</v>
      </c>
      <c r="C2656" s="4">
        <v>201001986</v>
      </c>
      <c r="D2656" s="4"/>
      <c r="E2656" s="4" t="str">
        <f>"039482010"</f>
        <v>039482010</v>
      </c>
      <c r="F2656" s="10">
        <v>40232</v>
      </c>
      <c r="G2656" s="11">
        <v>10000</v>
      </c>
      <c r="H2656" s="11">
        <v>10000</v>
      </c>
      <c r="I2656" s="4" t="s">
        <v>366</v>
      </c>
      <c r="J2656" s="4" t="s">
        <v>367</v>
      </c>
      <c r="K2656" s="11">
        <v>0</v>
      </c>
      <c r="L2656" s="4"/>
      <c r="M2656" s="4"/>
      <c r="N2656" s="11">
        <v>0</v>
      </c>
      <c r="O2656" s="4"/>
      <c r="P2656" s="4"/>
      <c r="Q2656" s="11">
        <v>0</v>
      </c>
      <c r="R2656" s="4"/>
      <c r="S2656" s="12"/>
    </row>
    <row r="2657" spans="1:19" x14ac:dyDescent="0.25">
      <c r="A2657" s="9" t="s">
        <v>843</v>
      </c>
      <c r="B2657" s="9" t="s">
        <v>843</v>
      </c>
      <c r="C2657" s="4">
        <v>201002001</v>
      </c>
      <c r="D2657" s="4"/>
      <c r="E2657" s="4" t="str">
        <f>"041362010"</f>
        <v>041362010</v>
      </c>
      <c r="F2657" s="10">
        <v>40240</v>
      </c>
      <c r="G2657" s="11">
        <v>3972.96</v>
      </c>
      <c r="H2657" s="11">
        <v>3972.96</v>
      </c>
      <c r="I2657" s="4" t="s">
        <v>366</v>
      </c>
      <c r="J2657" s="4" t="s">
        <v>367</v>
      </c>
      <c r="K2657" s="11">
        <v>0</v>
      </c>
      <c r="L2657" s="4"/>
      <c r="M2657" s="4"/>
      <c r="N2657" s="11">
        <v>0</v>
      </c>
      <c r="O2657" s="4"/>
      <c r="P2657" s="4"/>
      <c r="Q2657" s="11">
        <v>0</v>
      </c>
      <c r="R2657" s="4"/>
      <c r="S2657" s="12"/>
    </row>
    <row r="2658" spans="1:19" x14ac:dyDescent="0.25">
      <c r="A2658" s="9" t="s">
        <v>843</v>
      </c>
      <c r="B2658" s="9" t="s">
        <v>843</v>
      </c>
      <c r="C2658" s="4">
        <v>201002026</v>
      </c>
      <c r="D2658" s="4"/>
      <c r="E2658" s="4" t="str">
        <f>"039622010"</f>
        <v>039622010</v>
      </c>
      <c r="F2658" s="10">
        <v>40232</v>
      </c>
      <c r="G2658" s="11">
        <v>3500</v>
      </c>
      <c r="H2658" s="11">
        <v>3500</v>
      </c>
      <c r="I2658" s="4" t="s">
        <v>366</v>
      </c>
      <c r="J2658" s="4" t="s">
        <v>367</v>
      </c>
      <c r="K2658" s="11">
        <v>0</v>
      </c>
      <c r="L2658" s="4"/>
      <c r="M2658" s="4"/>
      <c r="N2658" s="11">
        <v>0</v>
      </c>
      <c r="O2658" s="4"/>
      <c r="P2658" s="4"/>
      <c r="Q2658" s="11">
        <v>0</v>
      </c>
      <c r="R2658" s="4"/>
      <c r="S2658" s="12"/>
    </row>
    <row r="2659" spans="1:19" x14ac:dyDescent="0.25">
      <c r="A2659" s="9" t="s">
        <v>843</v>
      </c>
      <c r="B2659" s="9" t="s">
        <v>843</v>
      </c>
      <c r="C2659" s="4">
        <v>201002067</v>
      </c>
      <c r="D2659" s="4"/>
      <c r="E2659" s="4" t="str">
        <f>"040722010"</f>
        <v>040722010</v>
      </c>
      <c r="F2659" s="10">
        <v>40234</v>
      </c>
      <c r="G2659" s="11">
        <v>40084</v>
      </c>
      <c r="H2659" s="11">
        <v>40084</v>
      </c>
      <c r="I2659" s="4" t="s">
        <v>54</v>
      </c>
      <c r="J2659" s="4" t="s">
        <v>55</v>
      </c>
      <c r="K2659" s="11">
        <v>0</v>
      </c>
      <c r="L2659" s="4"/>
      <c r="M2659" s="4"/>
      <c r="N2659" s="11">
        <v>0</v>
      </c>
      <c r="O2659" s="4"/>
      <c r="P2659" s="4"/>
      <c r="Q2659" s="11">
        <v>0</v>
      </c>
      <c r="R2659" s="4"/>
      <c r="S2659" s="12"/>
    </row>
    <row r="2660" spans="1:19" x14ac:dyDescent="0.25">
      <c r="A2660" s="9" t="s">
        <v>843</v>
      </c>
      <c r="B2660" s="9" t="s">
        <v>843</v>
      </c>
      <c r="C2660" s="4">
        <v>201002161</v>
      </c>
      <c r="D2660" s="4" t="s">
        <v>2395</v>
      </c>
      <c r="E2660" s="4" t="str">
        <f>"042972010"</f>
        <v>042972010</v>
      </c>
      <c r="F2660" s="10">
        <v>40240</v>
      </c>
      <c r="G2660" s="11">
        <v>8000</v>
      </c>
      <c r="H2660" s="11">
        <v>8000</v>
      </c>
      <c r="I2660" s="4" t="s">
        <v>366</v>
      </c>
      <c r="J2660" s="4" t="s">
        <v>367</v>
      </c>
      <c r="K2660" s="11">
        <v>0</v>
      </c>
      <c r="L2660" s="4"/>
      <c r="M2660" s="4"/>
      <c r="N2660" s="11">
        <v>0</v>
      </c>
      <c r="O2660" s="4"/>
      <c r="P2660" s="4"/>
      <c r="Q2660" s="11">
        <v>0</v>
      </c>
      <c r="R2660" s="4"/>
      <c r="S2660" s="12"/>
    </row>
    <row r="2661" spans="1:19" x14ac:dyDescent="0.25">
      <c r="A2661" s="9" t="s">
        <v>843</v>
      </c>
      <c r="B2661" s="9" t="s">
        <v>843</v>
      </c>
      <c r="C2661" s="4">
        <v>201002190</v>
      </c>
      <c r="D2661" s="4" t="s">
        <v>2396</v>
      </c>
      <c r="E2661" s="4" t="str">
        <f>"042692010"</f>
        <v>042692010</v>
      </c>
      <c r="F2661" s="10">
        <v>40246</v>
      </c>
      <c r="G2661" s="11">
        <v>7500</v>
      </c>
      <c r="H2661" s="11">
        <v>7500</v>
      </c>
      <c r="I2661" s="4" t="s">
        <v>366</v>
      </c>
      <c r="J2661" s="4" t="s">
        <v>367</v>
      </c>
      <c r="K2661" s="11">
        <v>0</v>
      </c>
      <c r="L2661" s="4"/>
      <c r="M2661" s="4"/>
      <c r="N2661" s="11">
        <v>0</v>
      </c>
      <c r="O2661" s="4"/>
      <c r="P2661" s="4"/>
      <c r="Q2661" s="11">
        <v>0</v>
      </c>
      <c r="R2661" s="4"/>
      <c r="S2661" s="12"/>
    </row>
    <row r="2662" spans="1:19" x14ac:dyDescent="0.25">
      <c r="A2662" s="9" t="s">
        <v>843</v>
      </c>
      <c r="B2662" s="9" t="s">
        <v>843</v>
      </c>
      <c r="C2662" s="4">
        <v>201002226</v>
      </c>
      <c r="D2662" s="4"/>
      <c r="E2662" s="4" t="str">
        <f>"044442010"</f>
        <v>044442010</v>
      </c>
      <c r="F2662" s="10">
        <v>40245</v>
      </c>
      <c r="G2662" s="11">
        <v>2862.02</v>
      </c>
      <c r="H2662" s="11">
        <v>2862.02</v>
      </c>
      <c r="I2662" s="4" t="s">
        <v>366</v>
      </c>
      <c r="J2662" s="4" t="s">
        <v>367</v>
      </c>
      <c r="K2662" s="11">
        <v>0</v>
      </c>
      <c r="L2662" s="4"/>
      <c r="M2662" s="4"/>
      <c r="N2662" s="11">
        <v>0</v>
      </c>
      <c r="O2662" s="4"/>
      <c r="P2662" s="4"/>
      <c r="Q2662" s="11">
        <v>0</v>
      </c>
      <c r="R2662" s="4"/>
      <c r="S2662" s="12"/>
    </row>
    <row r="2663" spans="1:19" x14ac:dyDescent="0.25">
      <c r="A2663" s="9" t="s">
        <v>843</v>
      </c>
      <c r="B2663" s="9" t="s">
        <v>843</v>
      </c>
      <c r="C2663" s="4">
        <v>201002229</v>
      </c>
      <c r="D2663" s="4"/>
      <c r="E2663" s="4" t="str">
        <f>"046442010"</f>
        <v>046442010</v>
      </c>
      <c r="F2663" s="10">
        <v>40252</v>
      </c>
      <c r="G2663" s="11">
        <v>3008.57</v>
      </c>
      <c r="H2663" s="11">
        <v>3008.57</v>
      </c>
      <c r="I2663" s="4" t="s">
        <v>56</v>
      </c>
      <c r="J2663" s="4" t="s">
        <v>57</v>
      </c>
      <c r="K2663" s="11">
        <v>0</v>
      </c>
      <c r="L2663" s="4"/>
      <c r="M2663" s="4"/>
      <c r="N2663" s="11">
        <v>0</v>
      </c>
      <c r="O2663" s="4"/>
      <c r="P2663" s="4"/>
      <c r="Q2663" s="11">
        <v>0</v>
      </c>
      <c r="R2663" s="4"/>
      <c r="S2663" s="12"/>
    </row>
    <row r="2664" spans="1:19" x14ac:dyDescent="0.25">
      <c r="A2664" s="9" t="s">
        <v>843</v>
      </c>
      <c r="B2664" s="9" t="s">
        <v>843</v>
      </c>
      <c r="C2664" s="4">
        <v>201002230</v>
      </c>
      <c r="D2664" s="4"/>
      <c r="E2664" s="4" t="str">
        <f>"046642010"</f>
        <v>046642010</v>
      </c>
      <c r="F2664" s="10">
        <v>40252</v>
      </c>
      <c r="G2664" s="11">
        <v>3566.26</v>
      </c>
      <c r="H2664" s="11">
        <v>3566.26</v>
      </c>
      <c r="I2664" s="4" t="s">
        <v>366</v>
      </c>
      <c r="J2664" s="4" t="s">
        <v>367</v>
      </c>
      <c r="K2664" s="11">
        <v>0</v>
      </c>
      <c r="L2664" s="4"/>
      <c r="M2664" s="4"/>
      <c r="N2664" s="11">
        <v>0</v>
      </c>
      <c r="O2664" s="4"/>
      <c r="P2664" s="4"/>
      <c r="Q2664" s="11">
        <v>0</v>
      </c>
      <c r="R2664" s="4"/>
      <c r="S2664" s="12"/>
    </row>
    <row r="2665" spans="1:19" x14ac:dyDescent="0.25">
      <c r="A2665" s="9" t="s">
        <v>843</v>
      </c>
      <c r="B2665" s="9" t="s">
        <v>843</v>
      </c>
      <c r="C2665" s="4">
        <v>201002262</v>
      </c>
      <c r="D2665" s="4"/>
      <c r="E2665" s="4" t="str">
        <f>"044322010"</f>
        <v>044322010</v>
      </c>
      <c r="F2665" s="10">
        <v>40245</v>
      </c>
      <c r="G2665" s="11">
        <v>9990</v>
      </c>
      <c r="H2665" s="11">
        <v>9990</v>
      </c>
      <c r="I2665" s="4" t="s">
        <v>366</v>
      </c>
      <c r="J2665" s="4" t="s">
        <v>367</v>
      </c>
      <c r="K2665" s="11">
        <v>0</v>
      </c>
      <c r="L2665" s="4"/>
      <c r="M2665" s="4"/>
      <c r="N2665" s="11">
        <v>0</v>
      </c>
      <c r="O2665" s="4"/>
      <c r="P2665" s="4"/>
      <c r="Q2665" s="11">
        <v>0</v>
      </c>
      <c r="R2665" s="4"/>
      <c r="S2665" s="12"/>
    </row>
    <row r="2666" spans="1:19" x14ac:dyDescent="0.25">
      <c r="A2666" s="9" t="s">
        <v>843</v>
      </c>
      <c r="B2666" s="9" t="s">
        <v>843</v>
      </c>
      <c r="C2666" s="4">
        <v>201002268</v>
      </c>
      <c r="D2666" s="4"/>
      <c r="E2666" s="4" t="str">
        <f>"044382010"</f>
        <v>044382010</v>
      </c>
      <c r="F2666" s="10">
        <v>40245</v>
      </c>
      <c r="G2666" s="11">
        <v>6232</v>
      </c>
      <c r="H2666" s="11">
        <v>6232</v>
      </c>
      <c r="I2666" s="4" t="s">
        <v>366</v>
      </c>
      <c r="J2666" s="4" t="s">
        <v>367</v>
      </c>
      <c r="K2666" s="11">
        <v>0</v>
      </c>
      <c r="L2666" s="4"/>
      <c r="M2666" s="4"/>
      <c r="N2666" s="11">
        <v>0</v>
      </c>
      <c r="O2666" s="4"/>
      <c r="P2666" s="4"/>
      <c r="Q2666" s="11">
        <v>0</v>
      </c>
      <c r="R2666" s="4"/>
      <c r="S2666" s="12"/>
    </row>
    <row r="2667" spans="1:19" x14ac:dyDescent="0.25">
      <c r="A2667" s="9" t="s">
        <v>843</v>
      </c>
      <c r="B2667" s="9" t="s">
        <v>843</v>
      </c>
      <c r="C2667" s="4">
        <v>201002274</v>
      </c>
      <c r="D2667" s="4"/>
      <c r="E2667" s="4" t="str">
        <f>"044462010"</f>
        <v>044462010</v>
      </c>
      <c r="F2667" s="10">
        <v>40245</v>
      </c>
      <c r="G2667" s="11">
        <v>3345.21</v>
      </c>
      <c r="H2667" s="11">
        <v>3345.21</v>
      </c>
      <c r="I2667" s="4" t="s">
        <v>366</v>
      </c>
      <c r="J2667" s="4" t="s">
        <v>367</v>
      </c>
      <c r="K2667" s="11">
        <v>0</v>
      </c>
      <c r="L2667" s="4"/>
      <c r="M2667" s="4"/>
      <c r="N2667" s="11">
        <v>0</v>
      </c>
      <c r="O2667" s="4"/>
      <c r="P2667" s="4"/>
      <c r="Q2667" s="11">
        <v>0</v>
      </c>
      <c r="R2667" s="4"/>
      <c r="S2667" s="12"/>
    </row>
    <row r="2668" spans="1:19" x14ac:dyDescent="0.25">
      <c r="A2668" s="9" t="s">
        <v>843</v>
      </c>
      <c r="B2668" s="9" t="s">
        <v>843</v>
      </c>
      <c r="C2668" s="4">
        <v>201002320</v>
      </c>
      <c r="D2668" s="4" t="s">
        <v>2397</v>
      </c>
      <c r="E2668" s="4" t="str">
        <f>"046742010"</f>
        <v>046742010</v>
      </c>
      <c r="F2668" s="10">
        <v>40252</v>
      </c>
      <c r="G2668" s="11">
        <v>10000</v>
      </c>
      <c r="H2668" s="11">
        <v>10000</v>
      </c>
      <c r="I2668" s="4" t="s">
        <v>366</v>
      </c>
      <c r="J2668" s="4" t="s">
        <v>367</v>
      </c>
      <c r="K2668" s="11">
        <v>0</v>
      </c>
      <c r="L2668" s="4"/>
      <c r="M2668" s="4"/>
      <c r="N2668" s="11">
        <v>0</v>
      </c>
      <c r="O2668" s="4"/>
      <c r="P2668" s="4"/>
      <c r="Q2668" s="11">
        <v>0</v>
      </c>
      <c r="R2668" s="4"/>
      <c r="S2668" s="12"/>
    </row>
    <row r="2669" spans="1:19" x14ac:dyDescent="0.25">
      <c r="A2669" s="9" t="s">
        <v>843</v>
      </c>
      <c r="B2669" s="9" t="s">
        <v>843</v>
      </c>
      <c r="C2669" s="4">
        <v>201002321</v>
      </c>
      <c r="D2669" s="4" t="s">
        <v>2398</v>
      </c>
      <c r="E2669" s="4" t="str">
        <f>"046602010"</f>
        <v>046602010</v>
      </c>
      <c r="F2669" s="10">
        <v>40252</v>
      </c>
      <c r="G2669" s="11">
        <v>10000</v>
      </c>
      <c r="H2669" s="11">
        <v>10000</v>
      </c>
      <c r="I2669" s="4" t="s">
        <v>366</v>
      </c>
      <c r="J2669" s="4" t="s">
        <v>367</v>
      </c>
      <c r="K2669" s="11">
        <v>0</v>
      </c>
      <c r="L2669" s="4"/>
      <c r="M2669" s="4"/>
      <c r="N2669" s="11">
        <v>0</v>
      </c>
      <c r="O2669" s="4"/>
      <c r="P2669" s="4"/>
      <c r="Q2669" s="11">
        <v>0</v>
      </c>
      <c r="R2669" s="4"/>
      <c r="S2669" s="12"/>
    </row>
    <row r="2670" spans="1:19" x14ac:dyDescent="0.25">
      <c r="A2670" s="9" t="s">
        <v>843</v>
      </c>
      <c r="B2670" s="9" t="s">
        <v>843</v>
      </c>
      <c r="C2670" s="4">
        <v>201002322</v>
      </c>
      <c r="D2670" s="4" t="s">
        <v>2399</v>
      </c>
      <c r="E2670" s="4" t="str">
        <f>"046582010"</f>
        <v>046582010</v>
      </c>
      <c r="F2670" s="10">
        <v>40252</v>
      </c>
      <c r="G2670" s="11">
        <v>10000</v>
      </c>
      <c r="H2670" s="11">
        <v>10000</v>
      </c>
      <c r="I2670" s="4" t="s">
        <v>366</v>
      </c>
      <c r="J2670" s="4" t="s">
        <v>367</v>
      </c>
      <c r="K2670" s="11">
        <v>0</v>
      </c>
      <c r="L2670" s="4"/>
      <c r="M2670" s="4"/>
      <c r="N2670" s="11">
        <v>0</v>
      </c>
      <c r="O2670" s="4"/>
      <c r="P2670" s="4"/>
      <c r="Q2670" s="11">
        <v>0</v>
      </c>
      <c r="R2670" s="4"/>
      <c r="S2670" s="12"/>
    </row>
    <row r="2671" spans="1:19" x14ac:dyDescent="0.25">
      <c r="A2671" s="9" t="s">
        <v>843</v>
      </c>
      <c r="B2671" s="9" t="s">
        <v>843</v>
      </c>
      <c r="C2671" s="4">
        <v>201002324</v>
      </c>
      <c r="D2671" s="4" t="s">
        <v>2399</v>
      </c>
      <c r="E2671" s="4" t="str">
        <f>"046562010"</f>
        <v>046562010</v>
      </c>
      <c r="F2671" s="10">
        <v>40252</v>
      </c>
      <c r="G2671" s="11">
        <v>10000</v>
      </c>
      <c r="H2671" s="11">
        <v>10000</v>
      </c>
      <c r="I2671" s="4" t="s">
        <v>366</v>
      </c>
      <c r="J2671" s="4" t="s">
        <v>367</v>
      </c>
      <c r="K2671" s="11">
        <v>0</v>
      </c>
      <c r="L2671" s="4"/>
      <c r="M2671" s="4"/>
      <c r="N2671" s="11">
        <v>0</v>
      </c>
      <c r="O2671" s="4"/>
      <c r="P2671" s="4"/>
      <c r="Q2671" s="11">
        <v>0</v>
      </c>
      <c r="R2671" s="4"/>
      <c r="S2671" s="12"/>
    </row>
    <row r="2672" spans="1:19" x14ac:dyDescent="0.25">
      <c r="A2672" s="9" t="s">
        <v>843</v>
      </c>
      <c r="B2672" s="9" t="s">
        <v>843</v>
      </c>
      <c r="C2672" s="4">
        <v>201002328</v>
      </c>
      <c r="D2672" s="4"/>
      <c r="E2672" s="4" t="str">
        <f>"046102010"</f>
        <v>046102010</v>
      </c>
      <c r="F2672" s="10">
        <v>40249</v>
      </c>
      <c r="G2672" s="11">
        <v>11921.43</v>
      </c>
      <c r="H2672" s="11">
        <v>11921.43</v>
      </c>
      <c r="I2672" s="4" t="s">
        <v>366</v>
      </c>
      <c r="J2672" s="4" t="s">
        <v>367</v>
      </c>
      <c r="K2672" s="11">
        <v>0</v>
      </c>
      <c r="L2672" s="4"/>
      <c r="M2672" s="4"/>
      <c r="N2672" s="11">
        <v>0</v>
      </c>
      <c r="O2672" s="4"/>
      <c r="P2672" s="4"/>
      <c r="Q2672" s="11">
        <v>0</v>
      </c>
      <c r="R2672" s="4"/>
      <c r="S2672" s="12"/>
    </row>
    <row r="2673" spans="1:19" x14ac:dyDescent="0.25">
      <c r="A2673" s="9" t="s">
        <v>843</v>
      </c>
      <c r="B2673" s="9" t="s">
        <v>843</v>
      </c>
      <c r="C2673" s="4">
        <v>201002346</v>
      </c>
      <c r="D2673" s="4"/>
      <c r="E2673" s="4" t="str">
        <f>"046462010"</f>
        <v>046462010</v>
      </c>
      <c r="F2673" s="10">
        <v>40252</v>
      </c>
      <c r="G2673" s="11">
        <v>5578.3</v>
      </c>
      <c r="H2673" s="11">
        <v>5578.3</v>
      </c>
      <c r="I2673" s="4" t="s">
        <v>366</v>
      </c>
      <c r="J2673" s="4" t="s">
        <v>367</v>
      </c>
      <c r="K2673" s="11">
        <v>0</v>
      </c>
      <c r="L2673" s="4"/>
      <c r="M2673" s="4"/>
      <c r="N2673" s="11">
        <v>0</v>
      </c>
      <c r="O2673" s="4"/>
      <c r="P2673" s="4"/>
      <c r="Q2673" s="11">
        <v>0</v>
      </c>
      <c r="R2673" s="4"/>
      <c r="S2673" s="12"/>
    </row>
    <row r="2674" spans="1:19" x14ac:dyDescent="0.25">
      <c r="A2674" s="9" t="s">
        <v>843</v>
      </c>
      <c r="B2674" s="9" t="s">
        <v>291</v>
      </c>
      <c r="C2674" s="4">
        <v>201002453</v>
      </c>
      <c r="D2674" s="4" t="s">
        <v>2400</v>
      </c>
      <c r="E2674" s="4" t="str">
        <f>"048662010"</f>
        <v>048662010</v>
      </c>
      <c r="F2674" s="10">
        <v>40255</v>
      </c>
      <c r="G2674" s="11">
        <v>10000</v>
      </c>
      <c r="H2674" s="11">
        <v>10000</v>
      </c>
      <c r="I2674" s="4" t="s">
        <v>366</v>
      </c>
      <c r="J2674" s="4" t="s">
        <v>367</v>
      </c>
      <c r="K2674" s="11">
        <v>0</v>
      </c>
      <c r="L2674" s="4"/>
      <c r="M2674" s="4"/>
      <c r="N2674" s="11">
        <v>0</v>
      </c>
      <c r="O2674" s="4"/>
      <c r="P2674" s="4"/>
      <c r="Q2674" s="11">
        <v>0</v>
      </c>
      <c r="R2674" s="4"/>
      <c r="S2674" s="12"/>
    </row>
    <row r="2675" spans="1:19" x14ac:dyDescent="0.25">
      <c r="A2675" s="9" t="s">
        <v>843</v>
      </c>
      <c r="B2675" s="9" t="s">
        <v>843</v>
      </c>
      <c r="C2675" s="4">
        <v>201002525</v>
      </c>
      <c r="D2675" s="4"/>
      <c r="E2675" s="4" t="str">
        <f>"049822010"</f>
        <v>049822010</v>
      </c>
      <c r="F2675" s="10">
        <v>40262</v>
      </c>
      <c r="G2675" s="11">
        <v>2525</v>
      </c>
      <c r="H2675" s="11">
        <v>2525</v>
      </c>
      <c r="I2675" s="4" t="s">
        <v>366</v>
      </c>
      <c r="J2675" s="4" t="s">
        <v>367</v>
      </c>
      <c r="K2675" s="11">
        <v>0</v>
      </c>
      <c r="L2675" s="4"/>
      <c r="M2675" s="4"/>
      <c r="N2675" s="11">
        <v>0</v>
      </c>
      <c r="O2675" s="4"/>
      <c r="P2675" s="4"/>
      <c r="Q2675" s="11">
        <v>0</v>
      </c>
      <c r="R2675" s="4"/>
      <c r="S2675" s="12"/>
    </row>
    <row r="2676" spans="1:19" x14ac:dyDescent="0.25">
      <c r="A2676" s="9" t="s">
        <v>843</v>
      </c>
      <c r="B2676" s="9" t="s">
        <v>843</v>
      </c>
      <c r="C2676" s="4">
        <v>201002688</v>
      </c>
      <c r="D2676" s="4"/>
      <c r="E2676" s="4" t="str">
        <f>"054482010"</f>
        <v>054482010</v>
      </c>
      <c r="F2676" s="10">
        <v>40270</v>
      </c>
      <c r="G2676" s="11">
        <v>3146.82</v>
      </c>
      <c r="H2676" s="11">
        <v>3146.82</v>
      </c>
      <c r="I2676" s="4" t="s">
        <v>366</v>
      </c>
      <c r="J2676" s="4" t="s">
        <v>367</v>
      </c>
      <c r="K2676" s="11">
        <v>0</v>
      </c>
      <c r="L2676" s="4"/>
      <c r="M2676" s="4"/>
      <c r="N2676" s="11">
        <v>0</v>
      </c>
      <c r="O2676" s="4"/>
      <c r="P2676" s="4"/>
      <c r="Q2676" s="11">
        <v>0</v>
      </c>
      <c r="R2676" s="4"/>
      <c r="S2676" s="12"/>
    </row>
    <row r="2677" spans="1:19" x14ac:dyDescent="0.25">
      <c r="A2677" s="9" t="s">
        <v>843</v>
      </c>
      <c r="B2677" s="9" t="s">
        <v>843</v>
      </c>
      <c r="C2677" s="4">
        <v>201002700</v>
      </c>
      <c r="D2677" s="4" t="s">
        <v>1076</v>
      </c>
      <c r="E2677" s="4" t="str">
        <f>"060182010"</f>
        <v>060182010</v>
      </c>
      <c r="F2677" s="10">
        <v>40289</v>
      </c>
      <c r="G2677" s="11">
        <v>9478.49</v>
      </c>
      <c r="H2677" s="11">
        <v>9478.49</v>
      </c>
      <c r="I2677" s="4" t="s">
        <v>366</v>
      </c>
      <c r="J2677" s="4" t="s">
        <v>367</v>
      </c>
      <c r="K2677" s="11">
        <v>0</v>
      </c>
      <c r="L2677" s="4"/>
      <c r="M2677" s="4"/>
      <c r="N2677" s="11">
        <v>0</v>
      </c>
      <c r="O2677" s="4"/>
      <c r="P2677" s="4"/>
      <c r="Q2677" s="11">
        <v>0</v>
      </c>
      <c r="R2677" s="4"/>
      <c r="S2677" s="12"/>
    </row>
    <row r="2678" spans="1:19" x14ac:dyDescent="0.25">
      <c r="A2678" s="9" t="s">
        <v>843</v>
      </c>
      <c r="B2678" s="9" t="s">
        <v>843</v>
      </c>
      <c r="C2678" s="4">
        <v>201002722</v>
      </c>
      <c r="D2678" s="4"/>
      <c r="E2678" s="4" t="str">
        <f>"054402010"</f>
        <v>054402010</v>
      </c>
      <c r="F2678" s="10">
        <v>40270</v>
      </c>
      <c r="G2678" s="11">
        <v>3266.98</v>
      </c>
      <c r="H2678" s="11">
        <v>3266.98</v>
      </c>
      <c r="I2678" s="4" t="s">
        <v>366</v>
      </c>
      <c r="J2678" s="4" t="s">
        <v>367</v>
      </c>
      <c r="K2678" s="11">
        <v>0</v>
      </c>
      <c r="L2678" s="4"/>
      <c r="M2678" s="4"/>
      <c r="N2678" s="11">
        <v>0</v>
      </c>
      <c r="O2678" s="4"/>
      <c r="P2678" s="4"/>
      <c r="Q2678" s="11">
        <v>0</v>
      </c>
      <c r="R2678" s="4"/>
      <c r="S2678" s="12"/>
    </row>
    <row r="2679" spans="1:19" x14ac:dyDescent="0.25">
      <c r="A2679" s="9" t="s">
        <v>843</v>
      </c>
      <c r="B2679" s="9" t="s">
        <v>843</v>
      </c>
      <c r="C2679" s="4">
        <v>201002749</v>
      </c>
      <c r="D2679" s="4" t="s">
        <v>2401</v>
      </c>
      <c r="E2679" s="4" t="str">
        <f>"054122010"</f>
        <v>054122010</v>
      </c>
      <c r="F2679" s="10">
        <v>40270</v>
      </c>
      <c r="G2679" s="11">
        <v>5439.42</v>
      </c>
      <c r="H2679" s="11">
        <v>5439.42</v>
      </c>
      <c r="I2679" s="4" t="s">
        <v>366</v>
      </c>
      <c r="J2679" s="4" t="s">
        <v>367</v>
      </c>
      <c r="K2679" s="11">
        <v>0</v>
      </c>
      <c r="L2679" s="4"/>
      <c r="M2679" s="4"/>
      <c r="N2679" s="11">
        <v>0</v>
      </c>
      <c r="O2679" s="4"/>
      <c r="P2679" s="4"/>
      <c r="Q2679" s="11">
        <v>0</v>
      </c>
      <c r="R2679" s="4"/>
      <c r="S2679" s="12"/>
    </row>
    <row r="2680" spans="1:19" x14ac:dyDescent="0.25">
      <c r="A2680" s="9" t="s">
        <v>843</v>
      </c>
      <c r="B2680" s="9" t="s">
        <v>843</v>
      </c>
      <c r="C2680" s="4">
        <v>201002825</v>
      </c>
      <c r="D2680" s="4"/>
      <c r="E2680" s="4" t="str">
        <f>"057142010"</f>
        <v>057142010</v>
      </c>
      <c r="F2680" s="10">
        <v>40281</v>
      </c>
      <c r="G2680" s="11">
        <v>5968.56</v>
      </c>
      <c r="H2680" s="11">
        <v>5968.56</v>
      </c>
      <c r="I2680" s="4" t="s">
        <v>366</v>
      </c>
      <c r="J2680" s="4" t="s">
        <v>367</v>
      </c>
      <c r="K2680" s="11">
        <v>0</v>
      </c>
      <c r="L2680" s="4"/>
      <c r="M2680" s="4"/>
      <c r="N2680" s="11">
        <v>0</v>
      </c>
      <c r="O2680" s="4"/>
      <c r="P2680" s="4"/>
      <c r="Q2680" s="11">
        <v>0</v>
      </c>
      <c r="R2680" s="4"/>
      <c r="S2680" s="12"/>
    </row>
    <row r="2681" spans="1:19" x14ac:dyDescent="0.25">
      <c r="A2681" s="9" t="s">
        <v>843</v>
      </c>
      <c r="B2681" s="9" t="s">
        <v>843</v>
      </c>
      <c r="C2681" s="4">
        <v>201002845</v>
      </c>
      <c r="D2681" s="4"/>
      <c r="E2681" s="4" t="str">
        <f>"056072010"</f>
        <v>056072010</v>
      </c>
      <c r="F2681" s="10">
        <v>40275</v>
      </c>
      <c r="G2681" s="11">
        <v>7734.22</v>
      </c>
      <c r="H2681" s="11">
        <v>7734.22</v>
      </c>
      <c r="I2681" s="4" t="s">
        <v>366</v>
      </c>
      <c r="J2681" s="4" t="s">
        <v>367</v>
      </c>
      <c r="K2681" s="11">
        <v>0</v>
      </c>
      <c r="L2681" s="4"/>
      <c r="M2681" s="4"/>
      <c r="N2681" s="11">
        <v>0</v>
      </c>
      <c r="O2681" s="4"/>
      <c r="P2681" s="4"/>
      <c r="Q2681" s="11">
        <v>0</v>
      </c>
      <c r="R2681" s="4"/>
      <c r="S2681" s="12"/>
    </row>
    <row r="2682" spans="1:19" x14ac:dyDescent="0.25">
      <c r="A2682" s="9" t="s">
        <v>843</v>
      </c>
      <c r="B2682" s="9" t="s">
        <v>843</v>
      </c>
      <c r="C2682" s="4">
        <v>201002899</v>
      </c>
      <c r="D2682" s="4"/>
      <c r="E2682" s="4" t="str">
        <f>"057042010"</f>
        <v>057042010</v>
      </c>
      <c r="F2682" s="10">
        <v>40281</v>
      </c>
      <c r="G2682" s="11">
        <v>4862.6099999999997</v>
      </c>
      <c r="H2682" s="11">
        <v>4862.6099999999997</v>
      </c>
      <c r="I2682" s="4" t="s">
        <v>366</v>
      </c>
      <c r="J2682" s="4" t="s">
        <v>367</v>
      </c>
      <c r="K2682" s="11">
        <v>0</v>
      </c>
      <c r="L2682" s="4"/>
      <c r="M2682" s="4"/>
      <c r="N2682" s="11">
        <v>0</v>
      </c>
      <c r="O2682" s="4"/>
      <c r="P2682" s="4"/>
      <c r="Q2682" s="11">
        <v>0</v>
      </c>
      <c r="R2682" s="4"/>
      <c r="S2682" s="12"/>
    </row>
    <row r="2683" spans="1:19" x14ac:dyDescent="0.25">
      <c r="A2683" s="9" t="s">
        <v>843</v>
      </c>
      <c r="B2683" s="9" t="s">
        <v>843</v>
      </c>
      <c r="C2683" s="4">
        <v>201002989</v>
      </c>
      <c r="D2683" s="4"/>
      <c r="E2683" s="4" t="str">
        <f>"060342010"</f>
        <v>060342010</v>
      </c>
      <c r="F2683" s="10">
        <v>40289</v>
      </c>
      <c r="G2683" s="11">
        <v>5954.57</v>
      </c>
      <c r="H2683" s="11">
        <v>5954.57</v>
      </c>
      <c r="I2683" s="4" t="s">
        <v>366</v>
      </c>
      <c r="J2683" s="4" t="s">
        <v>367</v>
      </c>
      <c r="K2683" s="11">
        <v>0</v>
      </c>
      <c r="L2683" s="4"/>
      <c r="M2683" s="4"/>
      <c r="N2683" s="11">
        <v>0</v>
      </c>
      <c r="O2683" s="4"/>
      <c r="P2683" s="4"/>
      <c r="Q2683" s="11">
        <v>0</v>
      </c>
      <c r="R2683" s="4"/>
      <c r="S2683" s="12"/>
    </row>
    <row r="2684" spans="1:19" x14ac:dyDescent="0.25">
      <c r="A2684" s="9" t="s">
        <v>843</v>
      </c>
      <c r="B2684" s="9" t="s">
        <v>843</v>
      </c>
      <c r="C2684" s="4">
        <v>201002993</v>
      </c>
      <c r="D2684" s="4" t="s">
        <v>2402</v>
      </c>
      <c r="E2684" s="4" t="str">
        <f>"059112010"</f>
        <v>059112010</v>
      </c>
      <c r="F2684" s="10">
        <v>40284</v>
      </c>
      <c r="G2684" s="11">
        <v>4677.9799999999996</v>
      </c>
      <c r="H2684" s="11">
        <v>4677.9799999999996</v>
      </c>
      <c r="I2684" s="4" t="s">
        <v>366</v>
      </c>
      <c r="J2684" s="4" t="s">
        <v>367</v>
      </c>
      <c r="K2684" s="11">
        <v>0</v>
      </c>
      <c r="L2684" s="4"/>
      <c r="M2684" s="4"/>
      <c r="N2684" s="11">
        <v>0</v>
      </c>
      <c r="O2684" s="4"/>
      <c r="P2684" s="4"/>
      <c r="Q2684" s="11">
        <v>0</v>
      </c>
      <c r="R2684" s="4"/>
      <c r="S2684" s="12"/>
    </row>
    <row r="2685" spans="1:19" x14ac:dyDescent="0.25">
      <c r="A2685" s="9" t="s">
        <v>843</v>
      </c>
      <c r="B2685" s="9" t="s">
        <v>843</v>
      </c>
      <c r="C2685" s="4">
        <v>201003020</v>
      </c>
      <c r="D2685" s="4"/>
      <c r="E2685" s="4" t="str">
        <f>"061162010"</f>
        <v>061162010</v>
      </c>
      <c r="F2685" s="10">
        <v>40291</v>
      </c>
      <c r="G2685" s="11">
        <v>2797.44</v>
      </c>
      <c r="H2685" s="11">
        <v>2797.44</v>
      </c>
      <c r="I2685" s="4" t="s">
        <v>366</v>
      </c>
      <c r="J2685" s="4" t="s">
        <v>367</v>
      </c>
      <c r="K2685" s="11">
        <v>0</v>
      </c>
      <c r="L2685" s="4"/>
      <c r="M2685" s="4"/>
      <c r="N2685" s="11">
        <v>0</v>
      </c>
      <c r="O2685" s="4"/>
      <c r="P2685" s="4"/>
      <c r="Q2685" s="11">
        <v>0</v>
      </c>
      <c r="R2685" s="4"/>
      <c r="S2685" s="12"/>
    </row>
    <row r="2686" spans="1:19" x14ac:dyDescent="0.25">
      <c r="A2686" s="9" t="s">
        <v>843</v>
      </c>
      <c r="B2686" s="9" t="s">
        <v>843</v>
      </c>
      <c r="C2686" s="4">
        <v>201003033</v>
      </c>
      <c r="D2686" s="4"/>
      <c r="E2686" s="4" t="str">
        <f>"059712010"</f>
        <v>059712010</v>
      </c>
      <c r="F2686" s="10">
        <v>40288</v>
      </c>
      <c r="G2686" s="11">
        <v>5300</v>
      </c>
      <c r="H2686" s="11">
        <v>5300</v>
      </c>
      <c r="I2686" s="4" t="s">
        <v>54</v>
      </c>
      <c r="J2686" s="4" t="s">
        <v>55</v>
      </c>
      <c r="K2686" s="11">
        <v>0</v>
      </c>
      <c r="L2686" s="4"/>
      <c r="M2686" s="4"/>
      <c r="N2686" s="11">
        <v>0</v>
      </c>
      <c r="O2686" s="4"/>
      <c r="P2686" s="4"/>
      <c r="Q2686" s="11">
        <v>0</v>
      </c>
      <c r="R2686" s="4"/>
      <c r="S2686" s="12"/>
    </row>
    <row r="2687" spans="1:19" x14ac:dyDescent="0.25">
      <c r="A2687" s="9" t="s">
        <v>843</v>
      </c>
      <c r="B2687" s="9" t="s">
        <v>843</v>
      </c>
      <c r="C2687" s="4">
        <v>201003048</v>
      </c>
      <c r="D2687" s="4"/>
      <c r="E2687" s="4" t="str">
        <f>"060282010"</f>
        <v>060282010</v>
      </c>
      <c r="F2687" s="10">
        <v>40289</v>
      </c>
      <c r="G2687" s="11">
        <v>4203.97</v>
      </c>
      <c r="H2687" s="11">
        <v>4203.97</v>
      </c>
      <c r="I2687" s="4" t="s">
        <v>366</v>
      </c>
      <c r="J2687" s="4" t="s">
        <v>367</v>
      </c>
      <c r="K2687" s="11">
        <v>0</v>
      </c>
      <c r="L2687" s="4"/>
      <c r="M2687" s="4"/>
      <c r="N2687" s="11">
        <v>0</v>
      </c>
      <c r="O2687" s="4"/>
      <c r="P2687" s="4"/>
      <c r="Q2687" s="11">
        <v>0</v>
      </c>
      <c r="R2687" s="4"/>
      <c r="S2687" s="12"/>
    </row>
    <row r="2688" spans="1:19" x14ac:dyDescent="0.25">
      <c r="A2688" s="9" t="s">
        <v>843</v>
      </c>
      <c r="B2688" s="9" t="s">
        <v>843</v>
      </c>
      <c r="C2688" s="4">
        <v>201003152</v>
      </c>
      <c r="D2688" s="4"/>
      <c r="E2688" s="4" t="str">
        <f>"062762010"</f>
        <v>062762010</v>
      </c>
      <c r="F2688" s="10">
        <v>40296</v>
      </c>
      <c r="G2688" s="11">
        <v>2786.35</v>
      </c>
      <c r="H2688" s="11">
        <v>2786.35</v>
      </c>
      <c r="I2688" s="4" t="s">
        <v>366</v>
      </c>
      <c r="J2688" s="4" t="s">
        <v>367</v>
      </c>
      <c r="K2688" s="11">
        <v>0</v>
      </c>
      <c r="L2688" s="4"/>
      <c r="M2688" s="4"/>
      <c r="N2688" s="11">
        <v>0</v>
      </c>
      <c r="O2688" s="4"/>
      <c r="P2688" s="4"/>
      <c r="Q2688" s="11">
        <v>0</v>
      </c>
      <c r="R2688" s="4"/>
      <c r="S2688" s="12"/>
    </row>
    <row r="2689" spans="1:19" x14ac:dyDescent="0.25">
      <c r="A2689" s="9" t="s">
        <v>843</v>
      </c>
      <c r="B2689" s="9" t="s">
        <v>843</v>
      </c>
      <c r="C2689" s="4">
        <v>201003157</v>
      </c>
      <c r="D2689" s="4" t="s">
        <v>2403</v>
      </c>
      <c r="E2689" s="4" t="str">
        <f>"062342010"</f>
        <v>062342010</v>
      </c>
      <c r="F2689" s="10">
        <v>40296</v>
      </c>
      <c r="G2689" s="11">
        <v>10000</v>
      </c>
      <c r="H2689" s="11">
        <v>10000</v>
      </c>
      <c r="I2689" s="4" t="s">
        <v>366</v>
      </c>
      <c r="J2689" s="4" t="s">
        <v>367</v>
      </c>
      <c r="K2689" s="11">
        <v>0</v>
      </c>
      <c r="L2689" s="4"/>
      <c r="M2689" s="4"/>
      <c r="N2689" s="11">
        <v>0</v>
      </c>
      <c r="O2689" s="4"/>
      <c r="P2689" s="4"/>
      <c r="Q2689" s="11">
        <v>0</v>
      </c>
      <c r="R2689" s="4"/>
      <c r="S2689" s="12"/>
    </row>
    <row r="2690" spans="1:19" x14ac:dyDescent="0.25">
      <c r="A2690" s="9" t="s">
        <v>843</v>
      </c>
      <c r="B2690" s="9" t="s">
        <v>843</v>
      </c>
      <c r="C2690" s="4">
        <v>201003176</v>
      </c>
      <c r="D2690" s="4"/>
      <c r="E2690" s="4" t="str">
        <f>"063642010"</f>
        <v>063642010</v>
      </c>
      <c r="F2690" s="10">
        <v>40297</v>
      </c>
      <c r="G2690" s="11">
        <v>2700.22</v>
      </c>
      <c r="H2690" s="11">
        <v>2700.22</v>
      </c>
      <c r="I2690" s="4" t="s">
        <v>366</v>
      </c>
      <c r="J2690" s="4" t="s">
        <v>367</v>
      </c>
      <c r="K2690" s="11">
        <v>0</v>
      </c>
      <c r="L2690" s="4"/>
      <c r="M2690" s="4"/>
      <c r="N2690" s="11">
        <v>0</v>
      </c>
      <c r="O2690" s="4"/>
      <c r="P2690" s="4"/>
      <c r="Q2690" s="11">
        <v>0</v>
      </c>
      <c r="R2690" s="4"/>
      <c r="S2690" s="12"/>
    </row>
    <row r="2691" spans="1:19" x14ac:dyDescent="0.25">
      <c r="A2691" s="9" t="s">
        <v>843</v>
      </c>
      <c r="B2691" s="9" t="s">
        <v>843</v>
      </c>
      <c r="C2691" s="4">
        <v>201003182</v>
      </c>
      <c r="D2691" s="4"/>
      <c r="E2691" s="4" t="str">
        <f>"064182010"</f>
        <v>064182010</v>
      </c>
      <c r="F2691" s="10">
        <v>40302</v>
      </c>
      <c r="G2691" s="11">
        <v>3139.59</v>
      </c>
      <c r="H2691" s="11">
        <v>3139.59</v>
      </c>
      <c r="I2691" s="4" t="s">
        <v>366</v>
      </c>
      <c r="J2691" s="4" t="s">
        <v>367</v>
      </c>
      <c r="K2691" s="11">
        <v>0</v>
      </c>
      <c r="L2691" s="4"/>
      <c r="M2691" s="4"/>
      <c r="N2691" s="11">
        <v>0</v>
      </c>
      <c r="O2691" s="4"/>
      <c r="P2691" s="4"/>
      <c r="Q2691" s="11">
        <v>0</v>
      </c>
      <c r="R2691" s="4"/>
      <c r="S2691" s="12"/>
    </row>
    <row r="2692" spans="1:19" x14ac:dyDescent="0.25">
      <c r="A2692" s="9" t="s">
        <v>843</v>
      </c>
      <c r="B2692" s="9" t="s">
        <v>843</v>
      </c>
      <c r="C2692" s="4">
        <v>201003190</v>
      </c>
      <c r="D2692" s="4"/>
      <c r="E2692" s="4" t="str">
        <f>"064222010"</f>
        <v>064222010</v>
      </c>
      <c r="F2692" s="10">
        <v>40302</v>
      </c>
      <c r="G2692" s="11">
        <v>7057.95</v>
      </c>
      <c r="H2692" s="11">
        <v>7057.95</v>
      </c>
      <c r="I2692" s="4" t="s">
        <v>366</v>
      </c>
      <c r="J2692" s="4" t="s">
        <v>367</v>
      </c>
      <c r="K2692" s="11">
        <v>0</v>
      </c>
      <c r="L2692" s="4"/>
      <c r="M2692" s="4"/>
      <c r="N2692" s="11">
        <v>0</v>
      </c>
      <c r="O2692" s="4"/>
      <c r="P2692" s="4"/>
      <c r="Q2692" s="11">
        <v>0</v>
      </c>
      <c r="R2692" s="4"/>
      <c r="S2692" s="12"/>
    </row>
    <row r="2693" spans="1:19" x14ac:dyDescent="0.25">
      <c r="A2693" s="9" t="s">
        <v>843</v>
      </c>
      <c r="B2693" s="9" t="s">
        <v>843</v>
      </c>
      <c r="C2693" s="4">
        <v>201003213</v>
      </c>
      <c r="D2693" s="4"/>
      <c r="E2693" s="4" t="str">
        <f>"066262010"</f>
        <v>066262010</v>
      </c>
      <c r="F2693" s="10">
        <v>40305</v>
      </c>
      <c r="G2693" s="11">
        <v>10000</v>
      </c>
      <c r="H2693" s="11">
        <v>10000</v>
      </c>
      <c r="I2693" s="4" t="s">
        <v>366</v>
      </c>
      <c r="J2693" s="4" t="s">
        <v>367</v>
      </c>
      <c r="K2693" s="11">
        <v>0</v>
      </c>
      <c r="L2693" s="4"/>
      <c r="M2693" s="4"/>
      <c r="N2693" s="11">
        <v>0</v>
      </c>
      <c r="O2693" s="4"/>
      <c r="P2693" s="4"/>
      <c r="Q2693" s="11">
        <v>0</v>
      </c>
      <c r="R2693" s="4"/>
      <c r="S2693" s="12"/>
    </row>
    <row r="2694" spans="1:19" x14ac:dyDescent="0.25">
      <c r="A2694" s="9" t="s">
        <v>843</v>
      </c>
      <c r="B2694" s="9" t="s">
        <v>843</v>
      </c>
      <c r="C2694" s="4">
        <v>201003216</v>
      </c>
      <c r="D2694" s="4"/>
      <c r="E2694" s="4" t="str">
        <f>"063922010"</f>
        <v>063922010</v>
      </c>
      <c r="F2694" s="10">
        <v>40302</v>
      </c>
      <c r="G2694" s="11">
        <v>4878.95</v>
      </c>
      <c r="H2694" s="11">
        <v>4878.95</v>
      </c>
      <c r="I2694" s="4" t="s">
        <v>366</v>
      </c>
      <c r="J2694" s="4" t="s">
        <v>367</v>
      </c>
      <c r="K2694" s="11">
        <v>0</v>
      </c>
      <c r="L2694" s="4"/>
      <c r="M2694" s="4"/>
      <c r="N2694" s="11">
        <v>0</v>
      </c>
      <c r="O2694" s="4"/>
      <c r="P2694" s="4"/>
      <c r="Q2694" s="11">
        <v>0</v>
      </c>
      <c r="R2694" s="4"/>
      <c r="S2694" s="12"/>
    </row>
    <row r="2695" spans="1:19" x14ac:dyDescent="0.25">
      <c r="A2695" s="9" t="s">
        <v>843</v>
      </c>
      <c r="B2695" s="9" t="s">
        <v>843</v>
      </c>
      <c r="C2695" s="4">
        <v>201003239</v>
      </c>
      <c r="D2695" s="4"/>
      <c r="E2695" s="4" t="str">
        <f>"064532010"</f>
        <v>064532010</v>
      </c>
      <c r="F2695" s="10">
        <v>40302</v>
      </c>
      <c r="G2695" s="11">
        <v>4000</v>
      </c>
      <c r="H2695" s="11">
        <v>4000</v>
      </c>
      <c r="I2695" s="4" t="s">
        <v>366</v>
      </c>
      <c r="J2695" s="4" t="s">
        <v>367</v>
      </c>
      <c r="K2695" s="11">
        <v>0</v>
      </c>
      <c r="L2695" s="4"/>
      <c r="M2695" s="4"/>
      <c r="N2695" s="11">
        <v>0</v>
      </c>
      <c r="O2695" s="4"/>
      <c r="P2695" s="4"/>
      <c r="Q2695" s="11">
        <v>0</v>
      </c>
      <c r="R2695" s="4"/>
      <c r="S2695" s="12"/>
    </row>
    <row r="2696" spans="1:19" x14ac:dyDescent="0.25">
      <c r="A2696" s="9" t="s">
        <v>843</v>
      </c>
      <c r="B2696" s="9" t="s">
        <v>843</v>
      </c>
      <c r="C2696" s="4">
        <v>201003241</v>
      </c>
      <c r="D2696" s="4" t="s">
        <v>2404</v>
      </c>
      <c r="E2696" s="4" t="str">
        <f>"072762010"</f>
        <v>072762010</v>
      </c>
      <c r="F2696" s="10">
        <v>40324</v>
      </c>
      <c r="G2696" s="11">
        <v>10000</v>
      </c>
      <c r="H2696" s="11">
        <v>10000</v>
      </c>
      <c r="I2696" s="4" t="s">
        <v>366</v>
      </c>
      <c r="J2696" s="4" t="s">
        <v>367</v>
      </c>
      <c r="K2696" s="11">
        <v>0</v>
      </c>
      <c r="L2696" s="4"/>
      <c r="M2696" s="4"/>
      <c r="N2696" s="11">
        <v>0</v>
      </c>
      <c r="O2696" s="4"/>
      <c r="P2696" s="4"/>
      <c r="Q2696" s="11">
        <v>0</v>
      </c>
      <c r="R2696" s="4"/>
      <c r="S2696" s="12"/>
    </row>
    <row r="2697" spans="1:19" x14ac:dyDescent="0.25">
      <c r="A2697" s="9" t="s">
        <v>843</v>
      </c>
      <c r="B2697" s="9" t="s">
        <v>843</v>
      </c>
      <c r="C2697" s="4">
        <v>201003273</v>
      </c>
      <c r="D2697" s="4" t="s">
        <v>2405</v>
      </c>
      <c r="E2697" s="4" t="str">
        <f>"065982010"</f>
        <v>065982010</v>
      </c>
      <c r="F2697" s="10">
        <v>40305</v>
      </c>
      <c r="G2697" s="11">
        <v>10000</v>
      </c>
      <c r="H2697" s="11">
        <v>10000</v>
      </c>
      <c r="I2697" s="4" t="s">
        <v>366</v>
      </c>
      <c r="J2697" s="4" t="s">
        <v>367</v>
      </c>
      <c r="K2697" s="11">
        <v>0</v>
      </c>
      <c r="L2697" s="4"/>
      <c r="M2697" s="4"/>
      <c r="N2697" s="11">
        <v>0</v>
      </c>
      <c r="O2697" s="4"/>
      <c r="P2697" s="4"/>
      <c r="Q2697" s="11">
        <v>0</v>
      </c>
      <c r="R2697" s="4"/>
      <c r="S2697" s="12"/>
    </row>
    <row r="2698" spans="1:19" x14ac:dyDescent="0.25">
      <c r="A2698" s="9" t="s">
        <v>843</v>
      </c>
      <c r="B2698" s="9" t="s">
        <v>843</v>
      </c>
      <c r="C2698" s="4">
        <v>201003293</v>
      </c>
      <c r="D2698" s="4"/>
      <c r="E2698" s="4" t="str">
        <f>"071432010"</f>
        <v>071432010</v>
      </c>
      <c r="F2698" s="10">
        <v>40318</v>
      </c>
      <c r="G2698" s="11">
        <v>2936.11</v>
      </c>
      <c r="H2698" s="11">
        <v>2936.11</v>
      </c>
      <c r="I2698" s="4" t="s">
        <v>366</v>
      </c>
      <c r="J2698" s="4" t="s">
        <v>367</v>
      </c>
      <c r="K2698" s="11">
        <v>0</v>
      </c>
      <c r="L2698" s="4"/>
      <c r="M2698" s="4"/>
      <c r="N2698" s="11">
        <v>0</v>
      </c>
      <c r="O2698" s="4"/>
      <c r="P2698" s="4"/>
      <c r="Q2698" s="11">
        <v>0</v>
      </c>
      <c r="R2698" s="4"/>
      <c r="S2698" s="12"/>
    </row>
    <row r="2699" spans="1:19" x14ac:dyDescent="0.25">
      <c r="A2699" s="9" t="s">
        <v>843</v>
      </c>
      <c r="B2699" s="9" t="s">
        <v>843</v>
      </c>
      <c r="C2699" s="4">
        <v>201003381</v>
      </c>
      <c r="D2699" s="4"/>
      <c r="E2699" s="4" t="str">
        <f>"067122010"</f>
        <v>067122010</v>
      </c>
      <c r="F2699" s="10">
        <v>40311</v>
      </c>
      <c r="G2699" s="11">
        <v>6567.86</v>
      </c>
      <c r="H2699" s="11">
        <v>6567.86</v>
      </c>
      <c r="I2699" s="4" t="s">
        <v>366</v>
      </c>
      <c r="J2699" s="4" t="s">
        <v>367</v>
      </c>
      <c r="K2699" s="11">
        <v>0</v>
      </c>
      <c r="L2699" s="4"/>
      <c r="M2699" s="4"/>
      <c r="N2699" s="11">
        <v>0</v>
      </c>
      <c r="O2699" s="4"/>
      <c r="P2699" s="4"/>
      <c r="Q2699" s="11">
        <v>0</v>
      </c>
      <c r="R2699" s="4"/>
      <c r="S2699" s="12"/>
    </row>
    <row r="2700" spans="1:19" x14ac:dyDescent="0.25">
      <c r="A2700" s="9" t="s">
        <v>843</v>
      </c>
      <c r="B2700" s="9" t="s">
        <v>843</v>
      </c>
      <c r="C2700" s="4">
        <v>201003405</v>
      </c>
      <c r="D2700" s="4"/>
      <c r="E2700" s="4" t="str">
        <f>"067262010"</f>
        <v>067262010</v>
      </c>
      <c r="F2700" s="10">
        <v>40311</v>
      </c>
      <c r="G2700" s="11">
        <v>9117.99</v>
      </c>
      <c r="H2700" s="11">
        <v>9117.99</v>
      </c>
      <c r="I2700" s="4" t="s">
        <v>366</v>
      </c>
      <c r="J2700" s="4" t="s">
        <v>367</v>
      </c>
      <c r="K2700" s="11">
        <v>0</v>
      </c>
      <c r="L2700" s="4"/>
      <c r="M2700" s="4"/>
      <c r="N2700" s="11">
        <v>0</v>
      </c>
      <c r="O2700" s="4"/>
      <c r="P2700" s="4"/>
      <c r="Q2700" s="11">
        <v>0</v>
      </c>
      <c r="R2700" s="4"/>
      <c r="S2700" s="12"/>
    </row>
    <row r="2701" spans="1:19" x14ac:dyDescent="0.25">
      <c r="A2701" s="9" t="s">
        <v>843</v>
      </c>
      <c r="B2701" s="9" t="s">
        <v>291</v>
      </c>
      <c r="C2701" s="4">
        <v>201003469</v>
      </c>
      <c r="D2701" s="4"/>
      <c r="E2701" s="4" t="str">
        <f>"069762010"</f>
        <v>069762010</v>
      </c>
      <c r="F2701" s="10">
        <v>40316</v>
      </c>
      <c r="G2701" s="11">
        <v>3775.2</v>
      </c>
      <c r="H2701" s="11">
        <v>3775.2</v>
      </c>
      <c r="I2701" s="4" t="s">
        <v>366</v>
      </c>
      <c r="J2701" s="4" t="s">
        <v>367</v>
      </c>
      <c r="K2701" s="11">
        <v>0</v>
      </c>
      <c r="L2701" s="4"/>
      <c r="M2701" s="4"/>
      <c r="N2701" s="11">
        <v>0</v>
      </c>
      <c r="O2701" s="4"/>
      <c r="P2701" s="4"/>
      <c r="Q2701" s="11">
        <v>0</v>
      </c>
      <c r="R2701" s="4"/>
      <c r="S2701" s="12"/>
    </row>
    <row r="2702" spans="1:19" x14ac:dyDescent="0.25">
      <c r="A2702" s="9" t="s">
        <v>843</v>
      </c>
      <c r="B2702" s="9" t="s">
        <v>843</v>
      </c>
      <c r="C2702" s="4">
        <v>201003475</v>
      </c>
      <c r="D2702" s="4"/>
      <c r="E2702" s="4" t="str">
        <f>"070152010"</f>
        <v>070152010</v>
      </c>
      <c r="F2702" s="10">
        <v>40316</v>
      </c>
      <c r="G2702" s="11">
        <v>5774.94</v>
      </c>
      <c r="H2702" s="11">
        <v>5774.94</v>
      </c>
      <c r="I2702" s="4" t="s">
        <v>366</v>
      </c>
      <c r="J2702" s="4" t="s">
        <v>367</v>
      </c>
      <c r="K2702" s="11">
        <v>0</v>
      </c>
      <c r="L2702" s="4"/>
      <c r="M2702" s="4"/>
      <c r="N2702" s="11">
        <v>0</v>
      </c>
      <c r="O2702" s="4"/>
      <c r="P2702" s="4"/>
      <c r="Q2702" s="11">
        <v>0</v>
      </c>
      <c r="R2702" s="4"/>
      <c r="S2702" s="12"/>
    </row>
    <row r="2703" spans="1:19" x14ac:dyDescent="0.25">
      <c r="A2703" s="9" t="s">
        <v>843</v>
      </c>
      <c r="B2703" s="9" t="s">
        <v>843</v>
      </c>
      <c r="C2703" s="4">
        <v>201003492</v>
      </c>
      <c r="D2703" s="4" t="s">
        <v>2406</v>
      </c>
      <c r="E2703" s="4" t="str">
        <f>"069362010"</f>
        <v>069362010</v>
      </c>
      <c r="F2703" s="10">
        <v>40312</v>
      </c>
      <c r="G2703" s="11">
        <v>10000</v>
      </c>
      <c r="H2703" s="11">
        <v>10000</v>
      </c>
      <c r="I2703" s="4" t="s">
        <v>366</v>
      </c>
      <c r="J2703" s="4" t="s">
        <v>367</v>
      </c>
      <c r="K2703" s="11">
        <v>0</v>
      </c>
      <c r="L2703" s="4"/>
      <c r="M2703" s="4"/>
      <c r="N2703" s="11">
        <v>0</v>
      </c>
      <c r="O2703" s="4"/>
      <c r="P2703" s="4"/>
      <c r="Q2703" s="11">
        <v>0</v>
      </c>
      <c r="R2703" s="4"/>
      <c r="S2703" s="12"/>
    </row>
    <row r="2704" spans="1:19" x14ac:dyDescent="0.25">
      <c r="A2704" s="9" t="s">
        <v>843</v>
      </c>
      <c r="B2704" s="9" t="s">
        <v>843</v>
      </c>
      <c r="C2704" s="4">
        <v>201003513</v>
      </c>
      <c r="D2704" s="4"/>
      <c r="E2704" s="4" t="str">
        <f>"074042010"</f>
        <v>074042010</v>
      </c>
      <c r="F2704" s="10">
        <v>40332</v>
      </c>
      <c r="G2704" s="11">
        <v>2759.77</v>
      </c>
      <c r="H2704" s="11">
        <v>2759.77</v>
      </c>
      <c r="I2704" s="4" t="s">
        <v>366</v>
      </c>
      <c r="J2704" s="4" t="s">
        <v>367</v>
      </c>
      <c r="K2704" s="11">
        <v>0</v>
      </c>
      <c r="L2704" s="4"/>
      <c r="M2704" s="4"/>
      <c r="N2704" s="11">
        <v>0</v>
      </c>
      <c r="O2704" s="4"/>
      <c r="P2704" s="4"/>
      <c r="Q2704" s="11">
        <v>0</v>
      </c>
      <c r="R2704" s="4"/>
      <c r="S2704" s="12"/>
    </row>
    <row r="2705" spans="1:19" x14ac:dyDescent="0.25">
      <c r="A2705" s="9" t="s">
        <v>843</v>
      </c>
      <c r="B2705" s="9" t="s">
        <v>291</v>
      </c>
      <c r="C2705" s="4">
        <v>201003520</v>
      </c>
      <c r="D2705" s="4"/>
      <c r="E2705" s="4" t="str">
        <f>"070292010"</f>
        <v>070292010</v>
      </c>
      <c r="F2705" s="10">
        <v>40318</v>
      </c>
      <c r="G2705" s="11">
        <v>20000</v>
      </c>
      <c r="H2705" s="11">
        <v>20000</v>
      </c>
      <c r="I2705" s="4" t="s">
        <v>366</v>
      </c>
      <c r="J2705" s="4" t="s">
        <v>367</v>
      </c>
      <c r="K2705" s="11">
        <v>0</v>
      </c>
      <c r="L2705" s="4"/>
      <c r="M2705" s="4"/>
      <c r="N2705" s="11">
        <v>0</v>
      </c>
      <c r="O2705" s="4"/>
      <c r="P2705" s="4"/>
      <c r="Q2705" s="11">
        <v>0</v>
      </c>
      <c r="R2705" s="4"/>
      <c r="S2705" s="12"/>
    </row>
    <row r="2706" spans="1:19" x14ac:dyDescent="0.25">
      <c r="A2706" s="9" t="s">
        <v>843</v>
      </c>
      <c r="B2706" s="9" t="s">
        <v>843</v>
      </c>
      <c r="C2706" s="4">
        <v>201003560</v>
      </c>
      <c r="D2706" s="4" t="s">
        <v>2407</v>
      </c>
      <c r="E2706" s="4" t="str">
        <f>"072492010"</f>
        <v>072492010</v>
      </c>
      <c r="F2706" s="10">
        <v>40323</v>
      </c>
      <c r="G2706" s="11">
        <v>36500</v>
      </c>
      <c r="H2706" s="11">
        <v>36500</v>
      </c>
      <c r="I2706" s="4" t="s">
        <v>366</v>
      </c>
      <c r="J2706" s="4" t="s">
        <v>367</v>
      </c>
      <c r="K2706" s="11">
        <v>0</v>
      </c>
      <c r="L2706" s="4"/>
      <c r="M2706" s="4"/>
      <c r="N2706" s="11">
        <v>0</v>
      </c>
      <c r="O2706" s="4"/>
      <c r="P2706" s="4"/>
      <c r="Q2706" s="11">
        <v>0</v>
      </c>
      <c r="R2706" s="4"/>
      <c r="S2706" s="12"/>
    </row>
    <row r="2707" spans="1:19" x14ac:dyDescent="0.25">
      <c r="A2707" s="9" t="s">
        <v>843</v>
      </c>
      <c r="B2707" s="9" t="s">
        <v>843</v>
      </c>
      <c r="C2707" s="4">
        <v>201003605</v>
      </c>
      <c r="D2707" s="4"/>
      <c r="E2707" s="4" t="str">
        <f>"071652010"</f>
        <v>071652010</v>
      </c>
      <c r="F2707" s="10">
        <v>40319</v>
      </c>
      <c r="G2707" s="11">
        <v>6700</v>
      </c>
      <c r="H2707" s="11">
        <v>6700</v>
      </c>
      <c r="I2707" s="4" t="s">
        <v>366</v>
      </c>
      <c r="J2707" s="4" t="s">
        <v>367</v>
      </c>
      <c r="K2707" s="11">
        <v>0</v>
      </c>
      <c r="L2707" s="4"/>
      <c r="M2707" s="4"/>
      <c r="N2707" s="11">
        <v>0</v>
      </c>
      <c r="O2707" s="4"/>
      <c r="P2707" s="4"/>
      <c r="Q2707" s="11">
        <v>0</v>
      </c>
      <c r="R2707" s="4"/>
      <c r="S2707" s="12"/>
    </row>
    <row r="2708" spans="1:19" x14ac:dyDescent="0.25">
      <c r="A2708" s="9" t="s">
        <v>843</v>
      </c>
      <c r="B2708" s="9" t="s">
        <v>843</v>
      </c>
      <c r="C2708" s="4">
        <v>201003619</v>
      </c>
      <c r="D2708" s="4"/>
      <c r="E2708" s="4" t="str">
        <f>"071452010"</f>
        <v>071452010</v>
      </c>
      <c r="F2708" s="10">
        <v>40318</v>
      </c>
      <c r="G2708" s="11">
        <v>2832</v>
      </c>
      <c r="H2708" s="11">
        <v>2832</v>
      </c>
      <c r="I2708" s="4" t="s">
        <v>366</v>
      </c>
      <c r="J2708" s="4" t="s">
        <v>367</v>
      </c>
      <c r="K2708" s="11">
        <v>0</v>
      </c>
      <c r="L2708" s="4"/>
      <c r="M2708" s="4"/>
      <c r="N2708" s="11">
        <v>0</v>
      </c>
      <c r="O2708" s="4"/>
      <c r="P2708" s="4"/>
      <c r="Q2708" s="11">
        <v>0</v>
      </c>
      <c r="R2708" s="4"/>
      <c r="S2708" s="12"/>
    </row>
    <row r="2709" spans="1:19" x14ac:dyDescent="0.25">
      <c r="A2709" s="9" t="s">
        <v>843</v>
      </c>
      <c r="B2709" s="9" t="s">
        <v>843</v>
      </c>
      <c r="C2709" s="4">
        <v>201003824</v>
      </c>
      <c r="D2709" s="4"/>
      <c r="E2709" s="4" t="str">
        <f>"077652010"</f>
        <v>077652010</v>
      </c>
      <c r="F2709" s="10">
        <v>40340</v>
      </c>
      <c r="G2709" s="11">
        <v>14294.49</v>
      </c>
      <c r="H2709" s="11">
        <v>14294.49</v>
      </c>
      <c r="I2709" s="4" t="s">
        <v>366</v>
      </c>
      <c r="J2709" s="4" t="s">
        <v>367</v>
      </c>
      <c r="K2709" s="11">
        <v>0</v>
      </c>
      <c r="L2709" s="4"/>
      <c r="M2709" s="4"/>
      <c r="N2709" s="11">
        <v>0</v>
      </c>
      <c r="O2709" s="4"/>
      <c r="P2709" s="4"/>
      <c r="Q2709" s="11">
        <v>0</v>
      </c>
      <c r="R2709" s="4"/>
      <c r="S2709" s="12"/>
    </row>
    <row r="2710" spans="1:19" x14ac:dyDescent="0.25">
      <c r="A2710" s="9" t="s">
        <v>843</v>
      </c>
      <c r="B2710" s="9" t="s">
        <v>843</v>
      </c>
      <c r="C2710" s="4">
        <v>201003848</v>
      </c>
      <c r="D2710" s="4"/>
      <c r="E2710" s="4" t="str">
        <f>"077792010"</f>
        <v>077792010</v>
      </c>
      <c r="F2710" s="10">
        <v>40340</v>
      </c>
      <c r="G2710" s="11">
        <v>3095.44</v>
      </c>
      <c r="H2710" s="11">
        <v>3095.44</v>
      </c>
      <c r="I2710" s="4" t="s">
        <v>366</v>
      </c>
      <c r="J2710" s="4" t="s">
        <v>367</v>
      </c>
      <c r="K2710" s="11">
        <v>0</v>
      </c>
      <c r="L2710" s="4"/>
      <c r="M2710" s="4"/>
      <c r="N2710" s="11">
        <v>0</v>
      </c>
      <c r="O2710" s="4"/>
      <c r="P2710" s="4"/>
      <c r="Q2710" s="11">
        <v>0</v>
      </c>
      <c r="R2710" s="4"/>
      <c r="S2710" s="12"/>
    </row>
    <row r="2711" spans="1:19" x14ac:dyDescent="0.25">
      <c r="A2711" s="9" t="s">
        <v>843</v>
      </c>
      <c r="B2711" s="9" t="s">
        <v>843</v>
      </c>
      <c r="C2711" s="4">
        <v>201003854</v>
      </c>
      <c r="D2711" s="4"/>
      <c r="E2711" s="4" t="str">
        <f>"100152010"</f>
        <v>100152010</v>
      </c>
      <c r="F2711" s="10">
        <v>40401</v>
      </c>
      <c r="G2711" s="11">
        <v>2800.95</v>
      </c>
      <c r="H2711" s="11">
        <v>2800.95</v>
      </c>
      <c r="I2711" s="4" t="s">
        <v>366</v>
      </c>
      <c r="J2711" s="4" t="s">
        <v>367</v>
      </c>
      <c r="K2711" s="11">
        <v>0</v>
      </c>
      <c r="L2711" s="4"/>
      <c r="M2711" s="4"/>
      <c r="N2711" s="11">
        <v>0</v>
      </c>
      <c r="O2711" s="4"/>
      <c r="P2711" s="4"/>
      <c r="Q2711" s="11">
        <v>0</v>
      </c>
      <c r="R2711" s="4"/>
      <c r="S2711" s="12"/>
    </row>
    <row r="2712" spans="1:19" x14ac:dyDescent="0.25">
      <c r="A2712" s="9" t="s">
        <v>843</v>
      </c>
      <c r="B2712" s="9" t="s">
        <v>843</v>
      </c>
      <c r="C2712" s="4">
        <v>201003865</v>
      </c>
      <c r="D2712" s="4" t="s">
        <v>2408</v>
      </c>
      <c r="E2712" s="4" t="str">
        <f>"075802010"</f>
        <v>075802010</v>
      </c>
      <c r="F2712" s="10">
        <v>40331</v>
      </c>
      <c r="G2712" s="11">
        <v>3702.96</v>
      </c>
      <c r="H2712" s="11">
        <v>3702.96</v>
      </c>
      <c r="I2712" s="4" t="s">
        <v>366</v>
      </c>
      <c r="J2712" s="4" t="s">
        <v>367</v>
      </c>
      <c r="K2712" s="11">
        <v>0</v>
      </c>
      <c r="L2712" s="4"/>
      <c r="M2712" s="4"/>
      <c r="N2712" s="11">
        <v>0</v>
      </c>
      <c r="O2712" s="4"/>
      <c r="P2712" s="4"/>
      <c r="Q2712" s="11">
        <v>0</v>
      </c>
      <c r="R2712" s="4"/>
      <c r="S2712" s="12"/>
    </row>
    <row r="2713" spans="1:19" x14ac:dyDescent="0.25">
      <c r="A2713" s="9" t="s">
        <v>843</v>
      </c>
      <c r="B2713" s="9" t="s">
        <v>843</v>
      </c>
      <c r="C2713" s="4">
        <v>201003897</v>
      </c>
      <c r="D2713" s="4"/>
      <c r="E2713" s="4" t="str">
        <f>"076392010"</f>
        <v>076392010</v>
      </c>
      <c r="F2713" s="10">
        <v>40333</v>
      </c>
      <c r="G2713" s="11">
        <v>4784.26</v>
      </c>
      <c r="H2713" s="11">
        <v>4784.26</v>
      </c>
      <c r="I2713" s="4" t="s">
        <v>366</v>
      </c>
      <c r="J2713" s="4" t="s">
        <v>367</v>
      </c>
      <c r="K2713" s="11">
        <v>0</v>
      </c>
      <c r="L2713" s="4"/>
      <c r="M2713" s="4"/>
      <c r="N2713" s="11">
        <v>0</v>
      </c>
      <c r="O2713" s="4"/>
      <c r="P2713" s="4"/>
      <c r="Q2713" s="11">
        <v>0</v>
      </c>
      <c r="R2713" s="4"/>
      <c r="S2713" s="12"/>
    </row>
    <row r="2714" spans="1:19" x14ac:dyDescent="0.25">
      <c r="A2714" s="9" t="s">
        <v>843</v>
      </c>
      <c r="B2714" s="9" t="s">
        <v>843</v>
      </c>
      <c r="C2714" s="4">
        <v>201003899</v>
      </c>
      <c r="D2714" s="4"/>
      <c r="E2714" s="4" t="str">
        <f>"082152010"</f>
        <v>082152010</v>
      </c>
      <c r="F2714" s="10">
        <v>40347</v>
      </c>
      <c r="G2714" s="11">
        <v>2931.5</v>
      </c>
      <c r="H2714" s="11">
        <v>2931.5</v>
      </c>
      <c r="I2714" s="4" t="s">
        <v>366</v>
      </c>
      <c r="J2714" s="4" t="s">
        <v>367</v>
      </c>
      <c r="K2714" s="11">
        <v>0</v>
      </c>
      <c r="L2714" s="4"/>
      <c r="M2714" s="4"/>
      <c r="N2714" s="11">
        <v>0</v>
      </c>
      <c r="O2714" s="4"/>
      <c r="P2714" s="4"/>
      <c r="Q2714" s="11">
        <v>0</v>
      </c>
      <c r="R2714" s="4"/>
      <c r="S2714" s="12"/>
    </row>
    <row r="2715" spans="1:19" x14ac:dyDescent="0.25">
      <c r="A2715" s="9" t="s">
        <v>843</v>
      </c>
      <c r="B2715" s="9" t="s">
        <v>843</v>
      </c>
      <c r="C2715" s="4">
        <v>201004012</v>
      </c>
      <c r="D2715" s="4"/>
      <c r="E2715" s="4" t="str">
        <f>"079482010"</f>
        <v>079482010</v>
      </c>
      <c r="F2715" s="10">
        <v>40344</v>
      </c>
      <c r="G2715" s="11">
        <v>6352.86</v>
      </c>
      <c r="H2715" s="11">
        <v>6352.86</v>
      </c>
      <c r="I2715" s="4" t="s">
        <v>366</v>
      </c>
      <c r="J2715" s="4" t="s">
        <v>367</v>
      </c>
      <c r="K2715" s="11">
        <v>0</v>
      </c>
      <c r="L2715" s="4"/>
      <c r="M2715" s="4"/>
      <c r="N2715" s="11">
        <v>0</v>
      </c>
      <c r="O2715" s="4"/>
      <c r="P2715" s="4"/>
      <c r="Q2715" s="11">
        <v>0</v>
      </c>
      <c r="R2715" s="4"/>
      <c r="S2715" s="12"/>
    </row>
    <row r="2716" spans="1:19" x14ac:dyDescent="0.25">
      <c r="A2716" s="9" t="s">
        <v>843</v>
      </c>
      <c r="B2716" s="9" t="s">
        <v>843</v>
      </c>
      <c r="C2716" s="4">
        <v>201004042</v>
      </c>
      <c r="D2716" s="4"/>
      <c r="E2716" s="4" t="str">
        <f>"079762010"</f>
        <v>079762010</v>
      </c>
      <c r="F2716" s="10">
        <v>40346</v>
      </c>
      <c r="G2716" s="11">
        <v>2531.25</v>
      </c>
      <c r="H2716" s="11">
        <v>2531.25</v>
      </c>
      <c r="I2716" s="4" t="s">
        <v>366</v>
      </c>
      <c r="J2716" s="4" t="s">
        <v>367</v>
      </c>
      <c r="K2716" s="11">
        <v>0</v>
      </c>
      <c r="L2716" s="4"/>
      <c r="M2716" s="4"/>
      <c r="N2716" s="11">
        <v>0</v>
      </c>
      <c r="O2716" s="4"/>
      <c r="P2716" s="4"/>
      <c r="Q2716" s="11">
        <v>0</v>
      </c>
      <c r="R2716" s="4"/>
      <c r="S2716" s="12"/>
    </row>
    <row r="2717" spans="1:19" x14ac:dyDescent="0.25">
      <c r="A2717" s="9" t="s">
        <v>843</v>
      </c>
      <c r="B2717" s="9" t="s">
        <v>843</v>
      </c>
      <c r="C2717" s="4">
        <v>201004048</v>
      </c>
      <c r="D2717" s="4"/>
      <c r="E2717" s="4" t="str">
        <f>"082532010"</f>
        <v>082532010</v>
      </c>
      <c r="F2717" s="10">
        <v>40354</v>
      </c>
      <c r="G2717" s="11">
        <v>6351.23</v>
      </c>
      <c r="H2717" s="11">
        <v>6351.23</v>
      </c>
      <c r="I2717" s="4" t="s">
        <v>54</v>
      </c>
      <c r="J2717" s="4" t="s">
        <v>55</v>
      </c>
      <c r="K2717" s="11">
        <v>0</v>
      </c>
      <c r="L2717" s="4"/>
      <c r="M2717" s="4"/>
      <c r="N2717" s="11">
        <v>0</v>
      </c>
      <c r="O2717" s="4"/>
      <c r="P2717" s="4"/>
      <c r="Q2717" s="11">
        <v>0</v>
      </c>
      <c r="R2717" s="4"/>
      <c r="S2717" s="12"/>
    </row>
    <row r="2718" spans="1:19" x14ac:dyDescent="0.25">
      <c r="A2718" s="9" t="s">
        <v>843</v>
      </c>
      <c r="B2718" s="9" t="s">
        <v>843</v>
      </c>
      <c r="C2718" s="4">
        <v>201004063</v>
      </c>
      <c r="D2718" s="4"/>
      <c r="E2718" s="4" t="str">
        <f>"080462010"</f>
        <v>080462010</v>
      </c>
      <c r="F2718" s="10">
        <v>40346</v>
      </c>
      <c r="G2718" s="11">
        <v>3285.4</v>
      </c>
      <c r="H2718" s="11">
        <v>3285.4</v>
      </c>
      <c r="I2718" s="4" t="s">
        <v>366</v>
      </c>
      <c r="J2718" s="4" t="s">
        <v>367</v>
      </c>
      <c r="K2718" s="11">
        <v>0</v>
      </c>
      <c r="L2718" s="4"/>
      <c r="M2718" s="4"/>
      <c r="N2718" s="11">
        <v>0</v>
      </c>
      <c r="O2718" s="4"/>
      <c r="P2718" s="4"/>
      <c r="Q2718" s="11">
        <v>0</v>
      </c>
      <c r="R2718" s="4"/>
      <c r="S2718" s="12"/>
    </row>
    <row r="2719" spans="1:19" x14ac:dyDescent="0.25">
      <c r="A2719" s="9" t="s">
        <v>843</v>
      </c>
      <c r="B2719" s="9" t="s">
        <v>843</v>
      </c>
      <c r="C2719" s="4">
        <v>201004070</v>
      </c>
      <c r="D2719" s="4"/>
      <c r="E2719" s="4" t="str">
        <f>"080582010"</f>
        <v>080582010</v>
      </c>
      <c r="F2719" s="10">
        <v>40346</v>
      </c>
      <c r="G2719" s="11">
        <v>3699.85</v>
      </c>
      <c r="H2719" s="11">
        <v>3699.85</v>
      </c>
      <c r="I2719" s="4" t="s">
        <v>366</v>
      </c>
      <c r="J2719" s="4" t="s">
        <v>367</v>
      </c>
      <c r="K2719" s="11">
        <v>0</v>
      </c>
      <c r="L2719" s="4"/>
      <c r="M2719" s="4"/>
      <c r="N2719" s="11">
        <v>0</v>
      </c>
      <c r="O2719" s="4"/>
      <c r="P2719" s="4"/>
      <c r="Q2719" s="11">
        <v>0</v>
      </c>
      <c r="R2719" s="4"/>
      <c r="S2719" s="12"/>
    </row>
    <row r="2720" spans="1:19" x14ac:dyDescent="0.25">
      <c r="A2720" s="9" t="s">
        <v>843</v>
      </c>
      <c r="B2720" s="9" t="s">
        <v>291</v>
      </c>
      <c r="C2720" s="4">
        <v>201004166</v>
      </c>
      <c r="D2720" s="4" t="s">
        <v>2409</v>
      </c>
      <c r="E2720" s="4" t="str">
        <f>"086542010"</f>
        <v>086542010</v>
      </c>
      <c r="F2720" s="10">
        <v>40357</v>
      </c>
      <c r="G2720" s="11">
        <v>20500</v>
      </c>
      <c r="H2720" s="11">
        <v>20500</v>
      </c>
      <c r="I2720" s="4" t="s">
        <v>366</v>
      </c>
      <c r="J2720" s="4" t="s">
        <v>367</v>
      </c>
      <c r="K2720" s="11">
        <v>0</v>
      </c>
      <c r="L2720" s="4"/>
      <c r="M2720" s="4"/>
      <c r="N2720" s="11">
        <v>0</v>
      </c>
      <c r="O2720" s="4"/>
      <c r="P2720" s="4"/>
      <c r="Q2720" s="11">
        <v>0</v>
      </c>
      <c r="R2720" s="4"/>
      <c r="S2720" s="12"/>
    </row>
    <row r="2721" spans="1:19" x14ac:dyDescent="0.25">
      <c r="A2721" s="9" t="s">
        <v>843</v>
      </c>
      <c r="B2721" s="9" t="s">
        <v>291</v>
      </c>
      <c r="C2721" s="4">
        <v>201004169</v>
      </c>
      <c r="D2721" s="4" t="s">
        <v>2410</v>
      </c>
      <c r="E2721" s="4" t="str">
        <f>"083602010"</f>
        <v>083602010</v>
      </c>
      <c r="F2721" s="10">
        <v>40353</v>
      </c>
      <c r="G2721" s="11">
        <v>41096.9</v>
      </c>
      <c r="H2721" s="11">
        <v>41096.9</v>
      </c>
      <c r="I2721" s="4" t="s">
        <v>366</v>
      </c>
      <c r="J2721" s="4" t="s">
        <v>367</v>
      </c>
      <c r="K2721" s="11">
        <v>0</v>
      </c>
      <c r="L2721" s="4"/>
      <c r="M2721" s="4"/>
      <c r="N2721" s="11">
        <v>0</v>
      </c>
      <c r="O2721" s="4"/>
      <c r="P2721" s="4"/>
      <c r="Q2721" s="11">
        <v>0</v>
      </c>
      <c r="R2721" s="4"/>
      <c r="S2721" s="12"/>
    </row>
    <row r="2722" spans="1:19" x14ac:dyDescent="0.25">
      <c r="A2722" s="9" t="s">
        <v>843</v>
      </c>
      <c r="B2722" s="9" t="s">
        <v>843</v>
      </c>
      <c r="C2722" s="4">
        <v>201004179</v>
      </c>
      <c r="D2722" s="4"/>
      <c r="E2722" s="4" t="str">
        <f>"083032010"</f>
        <v>083032010</v>
      </c>
      <c r="F2722" s="10">
        <v>40354</v>
      </c>
      <c r="G2722" s="11">
        <v>5272</v>
      </c>
      <c r="H2722" s="11">
        <v>5272</v>
      </c>
      <c r="I2722" s="4" t="s">
        <v>366</v>
      </c>
      <c r="J2722" s="4" t="s">
        <v>367</v>
      </c>
      <c r="K2722" s="11">
        <v>0</v>
      </c>
      <c r="L2722" s="4"/>
      <c r="M2722" s="4"/>
      <c r="N2722" s="11">
        <v>0</v>
      </c>
      <c r="O2722" s="4"/>
      <c r="P2722" s="4"/>
      <c r="Q2722" s="11">
        <v>0</v>
      </c>
      <c r="R2722" s="4"/>
      <c r="S2722" s="12"/>
    </row>
    <row r="2723" spans="1:19" x14ac:dyDescent="0.25">
      <c r="A2723" s="9" t="s">
        <v>843</v>
      </c>
      <c r="B2723" s="9" t="s">
        <v>843</v>
      </c>
      <c r="C2723" s="4">
        <v>201004194</v>
      </c>
      <c r="D2723" s="4"/>
      <c r="E2723" s="4" t="str">
        <f>"083072010"</f>
        <v>083072010</v>
      </c>
      <c r="F2723" s="10">
        <v>40347</v>
      </c>
      <c r="G2723" s="11">
        <v>7616.23</v>
      </c>
      <c r="H2723" s="11">
        <v>7616.23</v>
      </c>
      <c r="I2723" s="4" t="s">
        <v>366</v>
      </c>
      <c r="J2723" s="4" t="s">
        <v>367</v>
      </c>
      <c r="K2723" s="11">
        <v>0</v>
      </c>
      <c r="L2723" s="4"/>
      <c r="M2723" s="4"/>
      <c r="N2723" s="11">
        <v>0</v>
      </c>
      <c r="O2723" s="4"/>
      <c r="P2723" s="4"/>
      <c r="Q2723" s="11">
        <v>0</v>
      </c>
      <c r="R2723" s="4"/>
      <c r="S2723" s="12"/>
    </row>
    <row r="2724" spans="1:19" x14ac:dyDescent="0.25">
      <c r="A2724" s="9" t="s">
        <v>843</v>
      </c>
      <c r="B2724" s="9" t="s">
        <v>843</v>
      </c>
      <c r="C2724" s="4">
        <v>201004288</v>
      </c>
      <c r="D2724" s="4"/>
      <c r="E2724" s="4" t="str">
        <f>"085722010"</f>
        <v>085722010</v>
      </c>
      <c r="F2724" s="10">
        <v>40357</v>
      </c>
      <c r="G2724" s="11">
        <v>2548.89</v>
      </c>
      <c r="H2724" s="11">
        <v>2548.89</v>
      </c>
      <c r="I2724" s="4" t="s">
        <v>366</v>
      </c>
      <c r="J2724" s="4" t="s">
        <v>367</v>
      </c>
      <c r="K2724" s="11">
        <v>0</v>
      </c>
      <c r="L2724" s="4"/>
      <c r="M2724" s="4"/>
      <c r="N2724" s="11">
        <v>0</v>
      </c>
      <c r="O2724" s="4"/>
      <c r="P2724" s="4"/>
      <c r="Q2724" s="11">
        <v>0</v>
      </c>
      <c r="R2724" s="4"/>
      <c r="S2724" s="12"/>
    </row>
    <row r="2725" spans="1:19" x14ac:dyDescent="0.25">
      <c r="A2725" s="9" t="s">
        <v>843</v>
      </c>
      <c r="B2725" s="9" t="s">
        <v>843</v>
      </c>
      <c r="C2725" s="4">
        <v>201004331</v>
      </c>
      <c r="D2725" s="4"/>
      <c r="E2725" s="4" t="str">
        <f>"087602010"</f>
        <v>087602010</v>
      </c>
      <c r="F2725" s="10">
        <v>40360</v>
      </c>
      <c r="G2725" s="11">
        <v>5228.6099999999997</v>
      </c>
      <c r="H2725" s="11">
        <v>5228.6099999999997</v>
      </c>
      <c r="I2725" s="4" t="s">
        <v>366</v>
      </c>
      <c r="J2725" s="4" t="s">
        <v>367</v>
      </c>
      <c r="K2725" s="11">
        <v>0</v>
      </c>
      <c r="L2725" s="4"/>
      <c r="M2725" s="4"/>
      <c r="N2725" s="11">
        <v>0</v>
      </c>
      <c r="O2725" s="4"/>
      <c r="P2725" s="4"/>
      <c r="Q2725" s="11">
        <v>0</v>
      </c>
      <c r="R2725" s="4"/>
      <c r="S2725" s="12"/>
    </row>
    <row r="2726" spans="1:19" x14ac:dyDescent="0.25">
      <c r="A2726" s="9" t="s">
        <v>843</v>
      </c>
      <c r="B2726" s="9" t="s">
        <v>843</v>
      </c>
      <c r="C2726" s="4">
        <v>201004334</v>
      </c>
      <c r="D2726" s="4" t="s">
        <v>2411</v>
      </c>
      <c r="E2726" s="4" t="str">
        <f>"087102010"</f>
        <v>087102010</v>
      </c>
      <c r="F2726" s="10">
        <v>40358</v>
      </c>
      <c r="G2726" s="11">
        <v>9037.92</v>
      </c>
      <c r="H2726" s="11">
        <v>9037.92</v>
      </c>
      <c r="I2726" s="4" t="s">
        <v>366</v>
      </c>
      <c r="J2726" s="4" t="s">
        <v>367</v>
      </c>
      <c r="K2726" s="11">
        <v>0</v>
      </c>
      <c r="L2726" s="4"/>
      <c r="M2726" s="4"/>
      <c r="N2726" s="11">
        <v>0</v>
      </c>
      <c r="O2726" s="4"/>
      <c r="P2726" s="4"/>
      <c r="Q2726" s="11">
        <v>0</v>
      </c>
      <c r="R2726" s="4"/>
      <c r="S2726" s="12"/>
    </row>
    <row r="2727" spans="1:19" x14ac:dyDescent="0.25">
      <c r="A2727" s="9" t="s">
        <v>843</v>
      </c>
      <c r="B2727" s="9" t="s">
        <v>843</v>
      </c>
      <c r="C2727" s="4">
        <v>201004340</v>
      </c>
      <c r="D2727" s="4"/>
      <c r="E2727" s="4" t="str">
        <f>"088342010"</f>
        <v>088342010</v>
      </c>
      <c r="F2727" s="10">
        <v>40367</v>
      </c>
      <c r="G2727" s="11">
        <v>4580.25</v>
      </c>
      <c r="H2727" s="11">
        <v>4580.25</v>
      </c>
      <c r="I2727" s="4" t="s">
        <v>366</v>
      </c>
      <c r="J2727" s="4" t="s">
        <v>367</v>
      </c>
      <c r="K2727" s="11">
        <v>0</v>
      </c>
      <c r="L2727" s="4"/>
      <c r="M2727" s="4"/>
      <c r="N2727" s="11">
        <v>0</v>
      </c>
      <c r="O2727" s="4"/>
      <c r="P2727" s="4"/>
      <c r="Q2727" s="11">
        <v>0</v>
      </c>
      <c r="R2727" s="4"/>
      <c r="S2727" s="12"/>
    </row>
    <row r="2728" spans="1:19" x14ac:dyDescent="0.25">
      <c r="A2728" s="9" t="s">
        <v>843</v>
      </c>
      <c r="B2728" s="9" t="s">
        <v>843</v>
      </c>
      <c r="C2728" s="4">
        <v>201004365</v>
      </c>
      <c r="D2728" s="4" t="s">
        <v>2412</v>
      </c>
      <c r="E2728" s="4" t="str">
        <f>"092542010"</f>
        <v>092542010</v>
      </c>
      <c r="F2728" s="10">
        <v>40373</v>
      </c>
      <c r="G2728" s="11">
        <v>10000</v>
      </c>
      <c r="H2728" s="11">
        <v>10000</v>
      </c>
      <c r="I2728" s="4" t="s">
        <v>366</v>
      </c>
      <c r="J2728" s="4" t="s">
        <v>367</v>
      </c>
      <c r="K2728" s="11">
        <v>0</v>
      </c>
      <c r="L2728" s="4"/>
      <c r="M2728" s="4"/>
      <c r="N2728" s="11">
        <v>0</v>
      </c>
      <c r="O2728" s="4"/>
      <c r="P2728" s="4"/>
      <c r="Q2728" s="11">
        <v>0</v>
      </c>
      <c r="R2728" s="4"/>
      <c r="S2728" s="12"/>
    </row>
    <row r="2729" spans="1:19" x14ac:dyDescent="0.25">
      <c r="A2729" s="9" t="s">
        <v>843</v>
      </c>
      <c r="B2729" s="9" t="s">
        <v>843</v>
      </c>
      <c r="C2729" s="4">
        <v>201004395</v>
      </c>
      <c r="D2729" s="4" t="s">
        <v>2413</v>
      </c>
      <c r="E2729" s="4" t="str">
        <f>"087762010"</f>
        <v>087762010</v>
      </c>
      <c r="F2729" s="10">
        <v>40360</v>
      </c>
      <c r="G2729" s="11">
        <v>6210</v>
      </c>
      <c r="H2729" s="11">
        <v>6210</v>
      </c>
      <c r="I2729" s="4" t="s">
        <v>366</v>
      </c>
      <c r="J2729" s="4" t="s">
        <v>367</v>
      </c>
      <c r="K2729" s="11">
        <v>0</v>
      </c>
      <c r="L2729" s="4"/>
      <c r="M2729" s="4"/>
      <c r="N2729" s="11">
        <v>0</v>
      </c>
      <c r="O2729" s="4"/>
      <c r="P2729" s="4"/>
      <c r="Q2729" s="11">
        <v>0</v>
      </c>
      <c r="R2729" s="4"/>
      <c r="S2729" s="12"/>
    </row>
    <row r="2730" spans="1:19" x14ac:dyDescent="0.25">
      <c r="A2730" s="9" t="s">
        <v>843</v>
      </c>
      <c r="B2730" s="9" t="s">
        <v>843</v>
      </c>
      <c r="C2730" s="4">
        <v>201004409</v>
      </c>
      <c r="D2730" s="4"/>
      <c r="E2730" s="4" t="str">
        <f>"088842010"</f>
        <v>088842010</v>
      </c>
      <c r="F2730" s="10">
        <v>40366</v>
      </c>
      <c r="G2730" s="11">
        <v>2776.25</v>
      </c>
      <c r="H2730" s="11">
        <v>2776.25</v>
      </c>
      <c r="I2730" s="4" t="s">
        <v>366</v>
      </c>
      <c r="J2730" s="4" t="s">
        <v>367</v>
      </c>
      <c r="K2730" s="11">
        <v>0</v>
      </c>
      <c r="L2730" s="4"/>
      <c r="M2730" s="4"/>
      <c r="N2730" s="11">
        <v>0</v>
      </c>
      <c r="O2730" s="4"/>
      <c r="P2730" s="4"/>
      <c r="Q2730" s="11">
        <v>0</v>
      </c>
      <c r="R2730" s="4"/>
      <c r="S2730" s="12"/>
    </row>
    <row r="2731" spans="1:19" x14ac:dyDescent="0.25">
      <c r="A2731" s="9" t="s">
        <v>843</v>
      </c>
      <c r="B2731" s="9" t="s">
        <v>843</v>
      </c>
      <c r="C2731" s="4">
        <v>201004420</v>
      </c>
      <c r="D2731" s="4"/>
      <c r="E2731" s="4" t="str">
        <f>"088402010"</f>
        <v>088402010</v>
      </c>
      <c r="F2731" s="10">
        <v>40360</v>
      </c>
      <c r="G2731" s="11">
        <v>3600</v>
      </c>
      <c r="H2731" s="11">
        <v>3600</v>
      </c>
      <c r="I2731" s="4" t="s">
        <v>54</v>
      </c>
      <c r="J2731" s="4" t="s">
        <v>55</v>
      </c>
      <c r="K2731" s="11">
        <v>0</v>
      </c>
      <c r="L2731" s="4"/>
      <c r="M2731" s="4"/>
      <c r="N2731" s="11">
        <v>0</v>
      </c>
      <c r="O2731" s="4"/>
      <c r="P2731" s="4"/>
      <c r="Q2731" s="11">
        <v>0</v>
      </c>
      <c r="R2731" s="4"/>
      <c r="S2731" s="12"/>
    </row>
    <row r="2732" spans="1:19" x14ac:dyDescent="0.25">
      <c r="A2732" s="9" t="s">
        <v>843</v>
      </c>
      <c r="B2732" s="9" t="s">
        <v>843</v>
      </c>
      <c r="C2732" s="4">
        <v>201004451</v>
      </c>
      <c r="D2732" s="4" t="s">
        <v>2414</v>
      </c>
      <c r="E2732" s="4" t="str">
        <f>"089302010"</f>
        <v>089302010</v>
      </c>
      <c r="F2732" s="10">
        <v>40366</v>
      </c>
      <c r="G2732" s="11">
        <v>34198.769999999997</v>
      </c>
      <c r="H2732" s="11">
        <v>34198.769999999997</v>
      </c>
      <c r="I2732" s="4" t="s">
        <v>366</v>
      </c>
      <c r="J2732" s="4" t="s">
        <v>367</v>
      </c>
      <c r="K2732" s="11">
        <v>0</v>
      </c>
      <c r="L2732" s="4"/>
      <c r="M2732" s="4"/>
      <c r="N2732" s="11">
        <v>0</v>
      </c>
      <c r="O2732" s="4"/>
      <c r="P2732" s="4"/>
      <c r="Q2732" s="11">
        <v>0</v>
      </c>
      <c r="R2732" s="4"/>
      <c r="S2732" s="12"/>
    </row>
    <row r="2733" spans="1:19" x14ac:dyDescent="0.25">
      <c r="A2733" s="9" t="s">
        <v>843</v>
      </c>
      <c r="B2733" s="9" t="s">
        <v>843</v>
      </c>
      <c r="C2733" s="4">
        <v>201004546</v>
      </c>
      <c r="D2733" s="4"/>
      <c r="E2733" s="4" t="str">
        <f>"090642010"</f>
        <v>090642010</v>
      </c>
      <c r="F2733" s="10">
        <v>40367</v>
      </c>
      <c r="G2733" s="11">
        <v>3348.92</v>
      </c>
      <c r="H2733" s="11">
        <v>3348.92</v>
      </c>
      <c r="I2733" s="4" t="s">
        <v>54</v>
      </c>
      <c r="J2733" s="4" t="s">
        <v>55</v>
      </c>
      <c r="K2733" s="11">
        <v>0</v>
      </c>
      <c r="L2733" s="4"/>
      <c r="M2733" s="4"/>
      <c r="N2733" s="11">
        <v>0</v>
      </c>
      <c r="O2733" s="4"/>
      <c r="P2733" s="4"/>
      <c r="Q2733" s="11">
        <v>0</v>
      </c>
      <c r="R2733" s="4"/>
      <c r="S2733" s="12"/>
    </row>
    <row r="2734" spans="1:19" x14ac:dyDescent="0.25">
      <c r="A2734" s="9" t="s">
        <v>843</v>
      </c>
      <c r="B2734" s="9" t="s">
        <v>843</v>
      </c>
      <c r="C2734" s="4">
        <v>201004584</v>
      </c>
      <c r="D2734" s="4"/>
      <c r="E2734" s="4" t="str">
        <f>"091622010"</f>
        <v>091622010</v>
      </c>
      <c r="F2734" s="10">
        <v>40368</v>
      </c>
      <c r="G2734" s="11">
        <v>3697</v>
      </c>
      <c r="H2734" s="11">
        <v>3697</v>
      </c>
      <c r="I2734" s="4" t="s">
        <v>366</v>
      </c>
      <c r="J2734" s="4" t="s">
        <v>367</v>
      </c>
      <c r="K2734" s="11">
        <v>0</v>
      </c>
      <c r="L2734" s="4"/>
      <c r="M2734" s="4"/>
      <c r="N2734" s="11">
        <v>0</v>
      </c>
      <c r="O2734" s="4"/>
      <c r="P2734" s="4"/>
      <c r="Q2734" s="11">
        <v>0</v>
      </c>
      <c r="R2734" s="4"/>
      <c r="S2734" s="12"/>
    </row>
    <row r="2735" spans="1:19" x14ac:dyDescent="0.25">
      <c r="A2735" s="9" t="s">
        <v>843</v>
      </c>
      <c r="B2735" s="9" t="s">
        <v>843</v>
      </c>
      <c r="C2735" s="4">
        <v>201004607</v>
      </c>
      <c r="D2735" s="4"/>
      <c r="E2735" s="4" t="str">
        <f>"092842010"</f>
        <v>092842010</v>
      </c>
      <c r="F2735" s="10">
        <v>40374</v>
      </c>
      <c r="G2735" s="11">
        <v>2756.57</v>
      </c>
      <c r="H2735" s="11">
        <v>2756.57</v>
      </c>
      <c r="I2735" s="4" t="s">
        <v>366</v>
      </c>
      <c r="J2735" s="4" t="s">
        <v>367</v>
      </c>
      <c r="K2735" s="11">
        <v>0</v>
      </c>
      <c r="L2735" s="4"/>
      <c r="M2735" s="4"/>
      <c r="N2735" s="11">
        <v>0</v>
      </c>
      <c r="O2735" s="4"/>
      <c r="P2735" s="4"/>
      <c r="Q2735" s="11">
        <v>0</v>
      </c>
      <c r="R2735" s="4"/>
      <c r="S2735" s="12"/>
    </row>
    <row r="2736" spans="1:19" x14ac:dyDescent="0.25">
      <c r="A2736" s="9" t="s">
        <v>843</v>
      </c>
      <c r="B2736" s="9" t="s">
        <v>291</v>
      </c>
      <c r="C2736" s="4">
        <v>201004611</v>
      </c>
      <c r="D2736" s="4" t="s">
        <v>2415</v>
      </c>
      <c r="E2736" s="4" t="str">
        <f>"091962010"</f>
        <v>091962010</v>
      </c>
      <c r="F2736" s="10">
        <v>40372</v>
      </c>
      <c r="G2736" s="11">
        <v>17507.009999999998</v>
      </c>
      <c r="H2736" s="11">
        <v>17507.009999999998</v>
      </c>
      <c r="I2736" s="4" t="s">
        <v>366</v>
      </c>
      <c r="J2736" s="4" t="s">
        <v>367</v>
      </c>
      <c r="K2736" s="11">
        <v>0</v>
      </c>
      <c r="L2736" s="4"/>
      <c r="M2736" s="4"/>
      <c r="N2736" s="11">
        <v>0</v>
      </c>
      <c r="O2736" s="4"/>
      <c r="P2736" s="4"/>
      <c r="Q2736" s="11">
        <v>0</v>
      </c>
      <c r="R2736" s="4"/>
      <c r="S2736" s="12"/>
    </row>
    <row r="2737" spans="1:19" x14ac:dyDescent="0.25">
      <c r="A2737" s="9" t="s">
        <v>843</v>
      </c>
      <c r="B2737" s="9" t="s">
        <v>291</v>
      </c>
      <c r="C2737" s="4">
        <v>201004655</v>
      </c>
      <c r="D2737" s="4"/>
      <c r="E2737" s="4" t="str">
        <f>"092682010"</f>
        <v>092682010</v>
      </c>
      <c r="F2737" s="10">
        <v>40373</v>
      </c>
      <c r="G2737" s="11">
        <v>5094.24</v>
      </c>
      <c r="H2737" s="11">
        <v>5094.24</v>
      </c>
      <c r="I2737" s="4" t="s">
        <v>366</v>
      </c>
      <c r="J2737" s="4" t="s">
        <v>367</v>
      </c>
      <c r="K2737" s="11">
        <v>0</v>
      </c>
      <c r="L2737" s="4"/>
      <c r="M2737" s="4"/>
      <c r="N2737" s="11">
        <v>0</v>
      </c>
      <c r="O2737" s="4"/>
      <c r="P2737" s="4"/>
      <c r="Q2737" s="11">
        <v>0</v>
      </c>
      <c r="R2737" s="4"/>
      <c r="S2737" s="12"/>
    </row>
    <row r="2738" spans="1:19" x14ac:dyDescent="0.25">
      <c r="A2738" s="9" t="s">
        <v>843</v>
      </c>
      <c r="B2738" s="9" t="s">
        <v>843</v>
      </c>
      <c r="C2738" s="4">
        <v>201004710</v>
      </c>
      <c r="D2738" s="4"/>
      <c r="E2738" s="4" t="str">
        <f>"094082010"</f>
        <v>094082010</v>
      </c>
      <c r="F2738" s="10">
        <v>40379</v>
      </c>
      <c r="G2738" s="11">
        <v>4648.47</v>
      </c>
      <c r="H2738" s="11">
        <v>4648.47</v>
      </c>
      <c r="I2738" s="4" t="s">
        <v>366</v>
      </c>
      <c r="J2738" s="4" t="s">
        <v>367</v>
      </c>
      <c r="K2738" s="11">
        <v>0</v>
      </c>
      <c r="L2738" s="4"/>
      <c r="M2738" s="4"/>
      <c r="N2738" s="11">
        <v>0</v>
      </c>
      <c r="O2738" s="4"/>
      <c r="P2738" s="4"/>
      <c r="Q2738" s="11">
        <v>0</v>
      </c>
      <c r="R2738" s="4"/>
      <c r="S2738" s="12"/>
    </row>
    <row r="2739" spans="1:19" x14ac:dyDescent="0.25">
      <c r="A2739" s="9" t="s">
        <v>843</v>
      </c>
      <c r="B2739" s="9" t="s">
        <v>291</v>
      </c>
      <c r="C2739" s="4">
        <v>201004792</v>
      </c>
      <c r="D2739" s="4"/>
      <c r="E2739" s="4" t="str">
        <f>"100932010"</f>
        <v>100932010</v>
      </c>
      <c r="F2739" s="10">
        <v>40407</v>
      </c>
      <c r="G2739" s="11">
        <v>4132.32</v>
      </c>
      <c r="H2739" s="11">
        <v>4132.32</v>
      </c>
      <c r="I2739" s="4" t="s">
        <v>366</v>
      </c>
      <c r="J2739" s="4" t="s">
        <v>367</v>
      </c>
      <c r="K2739" s="11">
        <v>0</v>
      </c>
      <c r="L2739" s="4"/>
      <c r="M2739" s="4"/>
      <c r="N2739" s="11">
        <v>0</v>
      </c>
      <c r="O2739" s="4"/>
      <c r="P2739" s="4"/>
      <c r="Q2739" s="11">
        <v>0</v>
      </c>
      <c r="R2739" s="4"/>
      <c r="S2739" s="12"/>
    </row>
    <row r="2740" spans="1:19" x14ac:dyDescent="0.25">
      <c r="A2740" s="9" t="s">
        <v>843</v>
      </c>
      <c r="B2740" s="9" t="s">
        <v>843</v>
      </c>
      <c r="C2740" s="4">
        <v>201004794</v>
      </c>
      <c r="D2740" s="4"/>
      <c r="E2740" s="4" t="str">
        <f>"108102010"</f>
        <v>108102010</v>
      </c>
      <c r="F2740" s="10">
        <v>40424</v>
      </c>
      <c r="G2740" s="11">
        <v>3661.56</v>
      </c>
      <c r="H2740" s="11">
        <v>3661.56</v>
      </c>
      <c r="I2740" s="4" t="s">
        <v>366</v>
      </c>
      <c r="J2740" s="4" t="s">
        <v>367</v>
      </c>
      <c r="K2740" s="11">
        <v>0</v>
      </c>
      <c r="L2740" s="4"/>
      <c r="M2740" s="4"/>
      <c r="N2740" s="11">
        <v>0</v>
      </c>
      <c r="O2740" s="4"/>
      <c r="P2740" s="4"/>
      <c r="Q2740" s="11">
        <v>0</v>
      </c>
      <c r="R2740" s="4"/>
      <c r="S2740" s="12"/>
    </row>
    <row r="2741" spans="1:19" x14ac:dyDescent="0.25">
      <c r="A2741" s="9" t="s">
        <v>843</v>
      </c>
      <c r="B2741" s="9" t="s">
        <v>843</v>
      </c>
      <c r="C2741" s="4">
        <v>201004800</v>
      </c>
      <c r="D2741" s="4"/>
      <c r="E2741" s="4" t="str">
        <f>"096092010"</f>
        <v>096092010</v>
      </c>
      <c r="F2741" s="10">
        <v>40387</v>
      </c>
      <c r="G2741" s="11">
        <v>5549</v>
      </c>
      <c r="H2741" s="11">
        <v>5549</v>
      </c>
      <c r="I2741" s="4" t="s">
        <v>366</v>
      </c>
      <c r="J2741" s="4" t="s">
        <v>367</v>
      </c>
      <c r="K2741" s="11">
        <v>0</v>
      </c>
      <c r="L2741" s="4"/>
      <c r="M2741" s="4"/>
      <c r="N2741" s="11">
        <v>0</v>
      </c>
      <c r="O2741" s="4"/>
      <c r="P2741" s="4"/>
      <c r="Q2741" s="11">
        <v>0</v>
      </c>
      <c r="R2741" s="4"/>
      <c r="S2741" s="12"/>
    </row>
    <row r="2742" spans="1:19" x14ac:dyDescent="0.25">
      <c r="A2742" s="9" t="s">
        <v>843</v>
      </c>
      <c r="B2742" s="9" t="s">
        <v>291</v>
      </c>
      <c r="C2742" s="4">
        <v>201004845</v>
      </c>
      <c r="D2742" s="4"/>
      <c r="E2742" s="4" t="str">
        <f>"097652010"</f>
        <v>097652010</v>
      </c>
      <c r="F2742" s="10">
        <v>40394</v>
      </c>
      <c r="G2742" s="11">
        <v>3163</v>
      </c>
      <c r="H2742" s="11">
        <v>3163</v>
      </c>
      <c r="I2742" s="4" t="s">
        <v>366</v>
      </c>
      <c r="J2742" s="4" t="s">
        <v>367</v>
      </c>
      <c r="K2742" s="11">
        <v>0</v>
      </c>
      <c r="L2742" s="4"/>
      <c r="M2742" s="4"/>
      <c r="N2742" s="11">
        <v>0</v>
      </c>
      <c r="O2742" s="4"/>
      <c r="P2742" s="4"/>
      <c r="Q2742" s="11">
        <v>0</v>
      </c>
      <c r="R2742" s="4"/>
      <c r="S2742" s="12"/>
    </row>
    <row r="2743" spans="1:19" x14ac:dyDescent="0.25">
      <c r="A2743" s="9" t="s">
        <v>843</v>
      </c>
      <c r="B2743" s="9" t="s">
        <v>843</v>
      </c>
      <c r="C2743" s="4">
        <v>201004856</v>
      </c>
      <c r="D2743" s="4"/>
      <c r="E2743" s="4" t="str">
        <f>"096932010"</f>
        <v>096932010</v>
      </c>
      <c r="F2743" s="10">
        <v>40394</v>
      </c>
      <c r="G2743" s="11">
        <v>5090.01</v>
      </c>
      <c r="H2743" s="11">
        <v>5090.01</v>
      </c>
      <c r="I2743" s="4" t="s">
        <v>366</v>
      </c>
      <c r="J2743" s="4" t="s">
        <v>367</v>
      </c>
      <c r="K2743" s="11">
        <v>0</v>
      </c>
      <c r="L2743" s="4"/>
      <c r="M2743" s="4"/>
      <c r="N2743" s="11">
        <v>0</v>
      </c>
      <c r="O2743" s="4"/>
      <c r="P2743" s="4"/>
      <c r="Q2743" s="11">
        <v>0</v>
      </c>
      <c r="R2743" s="4"/>
      <c r="S2743" s="12"/>
    </row>
    <row r="2744" spans="1:19" x14ac:dyDescent="0.25">
      <c r="A2744" s="9" t="s">
        <v>843</v>
      </c>
      <c r="B2744" s="9" t="s">
        <v>843</v>
      </c>
      <c r="C2744" s="4">
        <v>201004937</v>
      </c>
      <c r="D2744" s="4"/>
      <c r="E2744" s="4" t="str">
        <f>"098382010"</f>
        <v>098382010</v>
      </c>
      <c r="F2744" s="10">
        <v>40394</v>
      </c>
      <c r="G2744" s="11">
        <v>9318.99</v>
      </c>
      <c r="H2744" s="11">
        <v>9318.99</v>
      </c>
      <c r="I2744" s="4" t="s">
        <v>366</v>
      </c>
      <c r="J2744" s="4" t="s">
        <v>367</v>
      </c>
      <c r="K2744" s="11">
        <v>0</v>
      </c>
      <c r="L2744" s="4"/>
      <c r="M2744" s="4"/>
      <c r="N2744" s="11">
        <v>0</v>
      </c>
      <c r="O2744" s="4"/>
      <c r="P2744" s="4"/>
      <c r="Q2744" s="11">
        <v>0</v>
      </c>
      <c r="R2744" s="4"/>
      <c r="S2744" s="12"/>
    </row>
    <row r="2745" spans="1:19" x14ac:dyDescent="0.25">
      <c r="A2745" s="9" t="s">
        <v>843</v>
      </c>
      <c r="B2745" s="9" t="s">
        <v>843</v>
      </c>
      <c r="C2745" s="4">
        <v>201004938</v>
      </c>
      <c r="D2745" s="4" t="s">
        <v>2416</v>
      </c>
      <c r="E2745" s="4" t="str">
        <f>"098982010"</f>
        <v>098982010</v>
      </c>
      <c r="F2745" s="10">
        <v>40396</v>
      </c>
      <c r="G2745" s="11">
        <v>8325</v>
      </c>
      <c r="H2745" s="11">
        <v>8325</v>
      </c>
      <c r="I2745" s="4" t="s">
        <v>366</v>
      </c>
      <c r="J2745" s="4" t="s">
        <v>367</v>
      </c>
      <c r="K2745" s="11">
        <v>0</v>
      </c>
      <c r="L2745" s="4"/>
      <c r="M2745" s="4"/>
      <c r="N2745" s="11">
        <v>0</v>
      </c>
      <c r="O2745" s="4"/>
      <c r="P2745" s="4"/>
      <c r="Q2745" s="11">
        <v>0</v>
      </c>
      <c r="R2745" s="4"/>
      <c r="S2745" s="12"/>
    </row>
    <row r="2746" spans="1:19" x14ac:dyDescent="0.25">
      <c r="A2746" s="9" t="s">
        <v>843</v>
      </c>
      <c r="B2746" s="9" t="s">
        <v>843</v>
      </c>
      <c r="C2746" s="4">
        <v>201004941</v>
      </c>
      <c r="D2746" s="4"/>
      <c r="E2746" s="4" t="str">
        <f>"098362010"</f>
        <v>098362010</v>
      </c>
      <c r="F2746" s="10">
        <v>40394</v>
      </c>
      <c r="G2746" s="11">
        <v>5000</v>
      </c>
      <c r="H2746" s="11">
        <v>5000</v>
      </c>
      <c r="I2746" s="4" t="s">
        <v>366</v>
      </c>
      <c r="J2746" s="4" t="s">
        <v>367</v>
      </c>
      <c r="K2746" s="11">
        <v>0</v>
      </c>
      <c r="L2746" s="4"/>
      <c r="M2746" s="4"/>
      <c r="N2746" s="11">
        <v>0</v>
      </c>
      <c r="O2746" s="4"/>
      <c r="P2746" s="4"/>
      <c r="Q2746" s="11">
        <v>0</v>
      </c>
      <c r="R2746" s="4"/>
      <c r="S2746" s="12"/>
    </row>
    <row r="2747" spans="1:19" x14ac:dyDescent="0.25">
      <c r="A2747" s="9" t="s">
        <v>843</v>
      </c>
      <c r="B2747" s="9" t="s">
        <v>843</v>
      </c>
      <c r="C2747" s="4">
        <v>201004963</v>
      </c>
      <c r="D2747" s="4"/>
      <c r="E2747" s="4" t="str">
        <f>"099552010"</f>
        <v>099552010</v>
      </c>
      <c r="F2747" s="10">
        <v>40396</v>
      </c>
      <c r="G2747" s="11">
        <v>6759.89</v>
      </c>
      <c r="H2747" s="11">
        <v>6759.89</v>
      </c>
      <c r="I2747" s="4" t="s">
        <v>366</v>
      </c>
      <c r="J2747" s="4" t="s">
        <v>367</v>
      </c>
      <c r="K2747" s="11">
        <v>0</v>
      </c>
      <c r="L2747" s="4"/>
      <c r="M2747" s="4"/>
      <c r="N2747" s="11">
        <v>0</v>
      </c>
      <c r="O2747" s="4"/>
      <c r="P2747" s="4"/>
      <c r="Q2747" s="11">
        <v>0</v>
      </c>
      <c r="R2747" s="4"/>
      <c r="S2747" s="12"/>
    </row>
    <row r="2748" spans="1:19" x14ac:dyDescent="0.25">
      <c r="A2748" s="9" t="s">
        <v>843</v>
      </c>
      <c r="B2748" s="9" t="s">
        <v>843</v>
      </c>
      <c r="C2748" s="4">
        <v>201004973</v>
      </c>
      <c r="D2748" s="4" t="s">
        <v>2417</v>
      </c>
      <c r="E2748" s="4" t="str">
        <f>"101452010"</f>
        <v>101452010</v>
      </c>
      <c r="F2748" s="10">
        <v>40407</v>
      </c>
      <c r="G2748" s="11">
        <v>3671.55</v>
      </c>
      <c r="H2748" s="11">
        <v>3671.55</v>
      </c>
      <c r="I2748" s="4" t="s">
        <v>366</v>
      </c>
      <c r="J2748" s="4" t="s">
        <v>367</v>
      </c>
      <c r="K2748" s="11">
        <v>0</v>
      </c>
      <c r="L2748" s="4"/>
      <c r="M2748" s="4"/>
      <c r="N2748" s="11">
        <v>0</v>
      </c>
      <c r="O2748" s="4"/>
      <c r="P2748" s="4"/>
      <c r="Q2748" s="11">
        <v>0</v>
      </c>
      <c r="R2748" s="4"/>
      <c r="S2748" s="12"/>
    </row>
    <row r="2749" spans="1:19" x14ac:dyDescent="0.25">
      <c r="A2749" s="9" t="s">
        <v>843</v>
      </c>
      <c r="B2749" s="9" t="s">
        <v>843</v>
      </c>
      <c r="C2749" s="4">
        <v>201005025</v>
      </c>
      <c r="D2749" s="4"/>
      <c r="E2749" s="4" t="str">
        <f>"101092010"</f>
        <v>101092010</v>
      </c>
      <c r="F2749" s="10">
        <v>40407</v>
      </c>
      <c r="G2749" s="11">
        <v>7600</v>
      </c>
      <c r="H2749" s="11">
        <v>7600</v>
      </c>
      <c r="I2749" s="4" t="s">
        <v>366</v>
      </c>
      <c r="J2749" s="4" t="s">
        <v>367</v>
      </c>
      <c r="K2749" s="11">
        <v>0</v>
      </c>
      <c r="L2749" s="4"/>
      <c r="M2749" s="4"/>
      <c r="N2749" s="11">
        <v>0</v>
      </c>
      <c r="O2749" s="4"/>
      <c r="P2749" s="4"/>
      <c r="Q2749" s="11">
        <v>0</v>
      </c>
      <c r="R2749" s="4"/>
      <c r="S2749" s="12"/>
    </row>
    <row r="2750" spans="1:19" x14ac:dyDescent="0.25">
      <c r="A2750" s="9" t="s">
        <v>843</v>
      </c>
      <c r="B2750" s="9" t="s">
        <v>291</v>
      </c>
      <c r="C2750" s="4">
        <v>201005047</v>
      </c>
      <c r="D2750" s="4" t="s">
        <v>2418</v>
      </c>
      <c r="E2750" s="4" t="str">
        <f>"102732010"</f>
        <v>102732010</v>
      </c>
      <c r="F2750" s="10">
        <v>40408</v>
      </c>
      <c r="G2750" s="11">
        <v>12102.24</v>
      </c>
      <c r="H2750" s="11">
        <v>12102.24</v>
      </c>
      <c r="I2750" s="4" t="s">
        <v>366</v>
      </c>
      <c r="J2750" s="4" t="s">
        <v>367</v>
      </c>
      <c r="K2750" s="11">
        <v>0</v>
      </c>
      <c r="L2750" s="4"/>
      <c r="M2750" s="4"/>
      <c r="N2750" s="11">
        <v>0</v>
      </c>
      <c r="O2750" s="4"/>
      <c r="P2750" s="4"/>
      <c r="Q2750" s="11">
        <v>0</v>
      </c>
      <c r="R2750" s="4"/>
      <c r="S2750" s="12"/>
    </row>
    <row r="2751" spans="1:19" x14ac:dyDescent="0.25">
      <c r="A2751" s="9" t="s">
        <v>843</v>
      </c>
      <c r="B2751" s="9" t="s">
        <v>843</v>
      </c>
      <c r="C2751" s="4">
        <v>201005084</v>
      </c>
      <c r="D2751" s="4"/>
      <c r="E2751" s="4" t="str">
        <f>"103312010"</f>
        <v>103312010</v>
      </c>
      <c r="F2751" s="10">
        <v>40409</v>
      </c>
      <c r="G2751" s="11">
        <v>2604.12</v>
      </c>
      <c r="H2751" s="11">
        <v>2604.12</v>
      </c>
      <c r="I2751" s="4" t="s">
        <v>366</v>
      </c>
      <c r="J2751" s="4" t="s">
        <v>367</v>
      </c>
      <c r="K2751" s="11">
        <v>0</v>
      </c>
      <c r="L2751" s="4"/>
      <c r="M2751" s="4"/>
      <c r="N2751" s="11">
        <v>0</v>
      </c>
      <c r="O2751" s="4"/>
      <c r="P2751" s="4"/>
      <c r="Q2751" s="11">
        <v>0</v>
      </c>
      <c r="R2751" s="4"/>
      <c r="S2751" s="12"/>
    </row>
    <row r="2752" spans="1:19" x14ac:dyDescent="0.25">
      <c r="A2752" s="9" t="s">
        <v>843</v>
      </c>
      <c r="B2752" s="9" t="s">
        <v>843</v>
      </c>
      <c r="C2752" s="4">
        <v>201005085</v>
      </c>
      <c r="D2752" s="4"/>
      <c r="E2752" s="4" t="str">
        <f>"101432010"</f>
        <v>101432010</v>
      </c>
      <c r="F2752" s="10">
        <v>40408</v>
      </c>
      <c r="G2752" s="11">
        <v>4476.8999999999996</v>
      </c>
      <c r="H2752" s="11">
        <v>4476.8999999999996</v>
      </c>
      <c r="I2752" s="4" t="s">
        <v>366</v>
      </c>
      <c r="J2752" s="4" t="s">
        <v>367</v>
      </c>
      <c r="K2752" s="11">
        <v>0</v>
      </c>
      <c r="L2752" s="4"/>
      <c r="M2752" s="4"/>
      <c r="N2752" s="11">
        <v>0</v>
      </c>
      <c r="O2752" s="4"/>
      <c r="P2752" s="4"/>
      <c r="Q2752" s="11">
        <v>0</v>
      </c>
      <c r="R2752" s="4"/>
      <c r="S2752" s="12"/>
    </row>
    <row r="2753" spans="1:19" x14ac:dyDescent="0.25">
      <c r="A2753" s="9" t="s">
        <v>843</v>
      </c>
      <c r="B2753" s="9" t="s">
        <v>843</v>
      </c>
      <c r="C2753" s="4">
        <v>201005093</v>
      </c>
      <c r="D2753" s="4"/>
      <c r="E2753" s="4" t="str">
        <f>"106472010"</f>
        <v>106472010</v>
      </c>
      <c r="F2753" s="10">
        <v>40417</v>
      </c>
      <c r="G2753" s="11">
        <v>2618</v>
      </c>
      <c r="H2753" s="11">
        <v>2618</v>
      </c>
      <c r="I2753" s="4" t="s">
        <v>54</v>
      </c>
      <c r="J2753" s="4" t="s">
        <v>55</v>
      </c>
      <c r="K2753" s="11">
        <v>0</v>
      </c>
      <c r="L2753" s="4"/>
      <c r="M2753" s="4"/>
      <c r="N2753" s="11">
        <v>0</v>
      </c>
      <c r="O2753" s="4"/>
      <c r="P2753" s="4"/>
      <c r="Q2753" s="11">
        <v>0</v>
      </c>
      <c r="R2753" s="4"/>
      <c r="S2753" s="12"/>
    </row>
    <row r="2754" spans="1:19" x14ac:dyDescent="0.25">
      <c r="A2754" s="9" t="s">
        <v>843</v>
      </c>
      <c r="B2754" s="9" t="s">
        <v>291</v>
      </c>
      <c r="C2754" s="4">
        <v>201005107</v>
      </c>
      <c r="D2754" s="4"/>
      <c r="E2754" s="4" t="str">
        <f>"101812010"</f>
        <v>101812010</v>
      </c>
      <c r="F2754" s="10">
        <v>40407</v>
      </c>
      <c r="G2754" s="11">
        <v>4243</v>
      </c>
      <c r="H2754" s="11">
        <v>4243</v>
      </c>
      <c r="I2754" s="4" t="s">
        <v>366</v>
      </c>
      <c r="J2754" s="4" t="s">
        <v>367</v>
      </c>
      <c r="K2754" s="11">
        <v>0</v>
      </c>
      <c r="L2754" s="4"/>
      <c r="M2754" s="4"/>
      <c r="N2754" s="11">
        <v>0</v>
      </c>
      <c r="O2754" s="4"/>
      <c r="P2754" s="4"/>
      <c r="Q2754" s="11">
        <v>0</v>
      </c>
      <c r="R2754" s="4"/>
      <c r="S2754" s="12"/>
    </row>
    <row r="2755" spans="1:19" x14ac:dyDescent="0.25">
      <c r="A2755" s="9" t="s">
        <v>843</v>
      </c>
      <c r="B2755" s="9" t="s">
        <v>843</v>
      </c>
      <c r="C2755" s="4">
        <v>201005109</v>
      </c>
      <c r="D2755" s="4"/>
      <c r="E2755" s="4" t="str">
        <f>"101792010"</f>
        <v>101792010</v>
      </c>
      <c r="F2755" s="10">
        <v>40407</v>
      </c>
      <c r="G2755" s="11">
        <v>4645</v>
      </c>
      <c r="H2755" s="11">
        <v>4645</v>
      </c>
      <c r="I2755" s="4" t="s">
        <v>366</v>
      </c>
      <c r="J2755" s="4" t="s">
        <v>367</v>
      </c>
      <c r="K2755" s="11">
        <v>0</v>
      </c>
      <c r="L2755" s="4"/>
      <c r="M2755" s="4"/>
      <c r="N2755" s="11">
        <v>0</v>
      </c>
      <c r="O2755" s="4"/>
      <c r="P2755" s="4"/>
      <c r="Q2755" s="11">
        <v>0</v>
      </c>
      <c r="R2755" s="4"/>
      <c r="S2755" s="12"/>
    </row>
    <row r="2756" spans="1:19" x14ac:dyDescent="0.25">
      <c r="A2756" s="9" t="s">
        <v>843</v>
      </c>
      <c r="B2756" s="9" t="s">
        <v>291</v>
      </c>
      <c r="C2756" s="4">
        <v>201005125</v>
      </c>
      <c r="D2756" s="4"/>
      <c r="E2756" s="4" t="str">
        <f>"102532010"</f>
        <v>102532010</v>
      </c>
      <c r="F2756" s="10">
        <v>40408</v>
      </c>
      <c r="G2756" s="11">
        <v>11000</v>
      </c>
      <c r="H2756" s="11">
        <v>11000</v>
      </c>
      <c r="I2756" s="4" t="s">
        <v>366</v>
      </c>
      <c r="J2756" s="4" t="s">
        <v>367</v>
      </c>
      <c r="K2756" s="11">
        <v>0</v>
      </c>
      <c r="L2756" s="4"/>
      <c r="M2756" s="4"/>
      <c r="N2756" s="11">
        <v>0</v>
      </c>
      <c r="O2756" s="4"/>
      <c r="P2756" s="4"/>
      <c r="Q2756" s="11">
        <v>0</v>
      </c>
      <c r="R2756" s="4"/>
      <c r="S2756" s="12"/>
    </row>
    <row r="2757" spans="1:19" x14ac:dyDescent="0.25">
      <c r="A2757" s="9" t="s">
        <v>843</v>
      </c>
      <c r="B2757" s="9" t="s">
        <v>843</v>
      </c>
      <c r="C2757" s="4">
        <v>201005172</v>
      </c>
      <c r="D2757" s="4"/>
      <c r="E2757" s="4" t="str">
        <f>"103232010"</f>
        <v>103232010</v>
      </c>
      <c r="F2757" s="10">
        <v>40409</v>
      </c>
      <c r="G2757" s="11">
        <v>3396.9</v>
      </c>
      <c r="H2757" s="11">
        <v>3396.9</v>
      </c>
      <c r="I2757" s="4" t="s">
        <v>366</v>
      </c>
      <c r="J2757" s="4" t="s">
        <v>367</v>
      </c>
      <c r="K2757" s="11">
        <v>0</v>
      </c>
      <c r="L2757" s="4"/>
      <c r="M2757" s="4"/>
      <c r="N2757" s="11">
        <v>0</v>
      </c>
      <c r="O2757" s="4"/>
      <c r="P2757" s="4"/>
      <c r="Q2757" s="11">
        <v>0</v>
      </c>
      <c r="R2757" s="4"/>
      <c r="S2757" s="12"/>
    </row>
    <row r="2758" spans="1:19" x14ac:dyDescent="0.25">
      <c r="A2758" s="9" t="s">
        <v>843</v>
      </c>
      <c r="B2758" s="9" t="s">
        <v>843</v>
      </c>
      <c r="C2758" s="4">
        <v>201005206</v>
      </c>
      <c r="D2758" s="4"/>
      <c r="E2758" s="4" t="str">
        <f>"103972010"</f>
        <v>103972010</v>
      </c>
      <c r="F2758" s="10">
        <v>40410</v>
      </c>
      <c r="G2758" s="11">
        <v>4998.33</v>
      </c>
      <c r="H2758" s="11">
        <v>4998.33</v>
      </c>
      <c r="I2758" s="4" t="s">
        <v>366</v>
      </c>
      <c r="J2758" s="4" t="s">
        <v>367</v>
      </c>
      <c r="K2758" s="11">
        <v>0</v>
      </c>
      <c r="L2758" s="4"/>
      <c r="M2758" s="4"/>
      <c r="N2758" s="11">
        <v>0</v>
      </c>
      <c r="O2758" s="4"/>
      <c r="P2758" s="4"/>
      <c r="Q2758" s="11">
        <v>0</v>
      </c>
      <c r="R2758" s="4"/>
      <c r="S2758" s="12"/>
    </row>
    <row r="2759" spans="1:19" x14ac:dyDescent="0.25">
      <c r="A2759" s="9" t="s">
        <v>843</v>
      </c>
      <c r="B2759" s="9" t="s">
        <v>843</v>
      </c>
      <c r="C2759" s="4">
        <v>201005253</v>
      </c>
      <c r="D2759" s="4"/>
      <c r="E2759" s="4" t="str">
        <f>"104892010"</f>
        <v>104892010</v>
      </c>
      <c r="F2759" s="10">
        <v>40415</v>
      </c>
      <c r="G2759" s="11">
        <v>19860.28</v>
      </c>
      <c r="H2759" s="11">
        <v>19860.28</v>
      </c>
      <c r="I2759" s="4" t="s">
        <v>366</v>
      </c>
      <c r="J2759" s="4" t="s">
        <v>367</v>
      </c>
      <c r="K2759" s="11">
        <v>0</v>
      </c>
      <c r="L2759" s="4"/>
      <c r="M2759" s="4"/>
      <c r="N2759" s="11">
        <v>0</v>
      </c>
      <c r="O2759" s="4"/>
      <c r="P2759" s="4"/>
      <c r="Q2759" s="11">
        <v>0</v>
      </c>
      <c r="R2759" s="4"/>
      <c r="S2759" s="12"/>
    </row>
    <row r="2760" spans="1:19" x14ac:dyDescent="0.25">
      <c r="A2760" s="9" t="s">
        <v>843</v>
      </c>
      <c r="B2760" s="9" t="s">
        <v>843</v>
      </c>
      <c r="C2760" s="4">
        <v>201005260</v>
      </c>
      <c r="D2760" s="4"/>
      <c r="E2760" s="4" t="str">
        <f>"104672010"</f>
        <v>104672010</v>
      </c>
      <c r="F2760" s="10">
        <v>40413</v>
      </c>
      <c r="G2760" s="11">
        <v>3660.92</v>
      </c>
      <c r="H2760" s="11">
        <v>3660.92</v>
      </c>
      <c r="I2760" s="4" t="s">
        <v>366</v>
      </c>
      <c r="J2760" s="4" t="s">
        <v>367</v>
      </c>
      <c r="K2760" s="11">
        <v>0</v>
      </c>
      <c r="L2760" s="4"/>
      <c r="M2760" s="4"/>
      <c r="N2760" s="11">
        <v>0</v>
      </c>
      <c r="O2760" s="4"/>
      <c r="P2760" s="4"/>
      <c r="Q2760" s="11">
        <v>0</v>
      </c>
      <c r="R2760" s="4"/>
      <c r="S2760" s="12"/>
    </row>
    <row r="2761" spans="1:19" x14ac:dyDescent="0.25">
      <c r="A2761" s="9" t="s">
        <v>843</v>
      </c>
      <c r="B2761" s="9" t="s">
        <v>843</v>
      </c>
      <c r="C2761" s="4">
        <v>201005263</v>
      </c>
      <c r="D2761" s="4"/>
      <c r="E2761" s="4" t="str">
        <f>"106072010"</f>
        <v>106072010</v>
      </c>
      <c r="F2761" s="10">
        <v>40417</v>
      </c>
      <c r="G2761" s="11">
        <v>2620.96</v>
      </c>
      <c r="H2761" s="11">
        <v>2620.96</v>
      </c>
      <c r="I2761" s="4" t="s">
        <v>366</v>
      </c>
      <c r="J2761" s="4" t="s">
        <v>367</v>
      </c>
      <c r="K2761" s="11">
        <v>0</v>
      </c>
      <c r="L2761" s="4"/>
      <c r="M2761" s="4"/>
      <c r="N2761" s="11">
        <v>0</v>
      </c>
      <c r="O2761" s="4"/>
      <c r="P2761" s="4"/>
      <c r="Q2761" s="11">
        <v>0</v>
      </c>
      <c r="R2761" s="4"/>
      <c r="S2761" s="12"/>
    </row>
    <row r="2762" spans="1:19" x14ac:dyDescent="0.25">
      <c r="A2762" s="9" t="s">
        <v>843</v>
      </c>
      <c r="B2762" s="9" t="s">
        <v>843</v>
      </c>
      <c r="C2762" s="4">
        <v>201005274</v>
      </c>
      <c r="D2762" s="4"/>
      <c r="E2762" s="4" t="str">
        <f>"104812010"</f>
        <v>104812010</v>
      </c>
      <c r="F2762" s="10">
        <v>40415</v>
      </c>
      <c r="G2762" s="11">
        <v>4746.24</v>
      </c>
      <c r="H2762" s="11">
        <v>4746.24</v>
      </c>
      <c r="I2762" s="4" t="s">
        <v>366</v>
      </c>
      <c r="J2762" s="4" t="s">
        <v>367</v>
      </c>
      <c r="K2762" s="11">
        <v>0</v>
      </c>
      <c r="L2762" s="4"/>
      <c r="M2762" s="4"/>
      <c r="N2762" s="11">
        <v>0</v>
      </c>
      <c r="O2762" s="4"/>
      <c r="P2762" s="4"/>
      <c r="Q2762" s="11">
        <v>0</v>
      </c>
      <c r="R2762" s="4"/>
      <c r="S2762" s="12"/>
    </row>
    <row r="2763" spans="1:19" x14ac:dyDescent="0.25">
      <c r="A2763" s="9" t="s">
        <v>843</v>
      </c>
      <c r="B2763" s="9" t="s">
        <v>843</v>
      </c>
      <c r="C2763" s="4">
        <v>201005284</v>
      </c>
      <c r="D2763" s="4"/>
      <c r="E2763" s="4" t="str">
        <f>"112382010"</f>
        <v>112382010</v>
      </c>
      <c r="F2763" s="10">
        <v>40443</v>
      </c>
      <c r="G2763" s="11">
        <v>15697.56</v>
      </c>
      <c r="H2763" s="11">
        <v>15697.56</v>
      </c>
      <c r="I2763" s="4" t="s">
        <v>366</v>
      </c>
      <c r="J2763" s="4" t="s">
        <v>367</v>
      </c>
      <c r="K2763" s="11">
        <v>0</v>
      </c>
      <c r="L2763" s="4"/>
      <c r="M2763" s="4"/>
      <c r="N2763" s="11">
        <v>0</v>
      </c>
      <c r="O2763" s="4"/>
      <c r="P2763" s="4"/>
      <c r="Q2763" s="11">
        <v>0</v>
      </c>
      <c r="R2763" s="4"/>
      <c r="S2763" s="12"/>
    </row>
    <row r="2764" spans="1:19" x14ac:dyDescent="0.25">
      <c r="A2764" s="9" t="s">
        <v>843</v>
      </c>
      <c r="B2764" s="9" t="s">
        <v>843</v>
      </c>
      <c r="C2764" s="4">
        <v>201005292</v>
      </c>
      <c r="D2764" s="4"/>
      <c r="E2764" s="4" t="str">
        <f>"111112010"</f>
        <v>111112010</v>
      </c>
      <c r="F2764" s="10">
        <v>40437</v>
      </c>
      <c r="G2764" s="11">
        <v>5563.94</v>
      </c>
      <c r="H2764" s="11">
        <v>5563.94</v>
      </c>
      <c r="I2764" s="4" t="s">
        <v>366</v>
      </c>
      <c r="J2764" s="4" t="s">
        <v>367</v>
      </c>
      <c r="K2764" s="11">
        <v>0</v>
      </c>
      <c r="L2764" s="4"/>
      <c r="M2764" s="4"/>
      <c r="N2764" s="11">
        <v>0</v>
      </c>
      <c r="O2764" s="4"/>
      <c r="P2764" s="4"/>
      <c r="Q2764" s="11">
        <v>0</v>
      </c>
      <c r="R2764" s="4"/>
      <c r="S2764" s="12"/>
    </row>
    <row r="2765" spans="1:19" x14ac:dyDescent="0.25">
      <c r="A2765" s="9" t="s">
        <v>843</v>
      </c>
      <c r="B2765" s="9" t="s">
        <v>843</v>
      </c>
      <c r="C2765" s="4">
        <v>201005294</v>
      </c>
      <c r="D2765" s="4"/>
      <c r="E2765" s="4" t="str">
        <f>"109912010"</f>
        <v>109912010</v>
      </c>
      <c r="F2765" s="10">
        <v>40431</v>
      </c>
      <c r="G2765" s="11">
        <v>6127.65</v>
      </c>
      <c r="H2765" s="11">
        <v>6127.65</v>
      </c>
      <c r="I2765" s="4" t="s">
        <v>366</v>
      </c>
      <c r="J2765" s="4" t="s">
        <v>367</v>
      </c>
      <c r="K2765" s="11">
        <v>0</v>
      </c>
      <c r="L2765" s="4"/>
      <c r="M2765" s="4"/>
      <c r="N2765" s="11">
        <v>0</v>
      </c>
      <c r="O2765" s="4"/>
      <c r="P2765" s="4"/>
      <c r="Q2765" s="11">
        <v>0</v>
      </c>
      <c r="R2765" s="4"/>
      <c r="S2765" s="12"/>
    </row>
    <row r="2766" spans="1:19" x14ac:dyDescent="0.25">
      <c r="A2766" s="9" t="s">
        <v>843</v>
      </c>
      <c r="B2766" s="9" t="s">
        <v>843</v>
      </c>
      <c r="C2766" s="4">
        <v>201005304</v>
      </c>
      <c r="D2766" s="4" t="s">
        <v>2419</v>
      </c>
      <c r="E2766" s="4" t="str">
        <f>"110992010"</f>
        <v>110992010</v>
      </c>
      <c r="F2766" s="10">
        <v>40436</v>
      </c>
      <c r="G2766" s="11">
        <v>10000</v>
      </c>
      <c r="H2766" s="11">
        <v>10000</v>
      </c>
      <c r="I2766" s="4" t="s">
        <v>366</v>
      </c>
      <c r="J2766" s="4" t="s">
        <v>367</v>
      </c>
      <c r="K2766" s="11">
        <v>0</v>
      </c>
      <c r="L2766" s="4"/>
      <c r="M2766" s="4"/>
      <c r="N2766" s="11">
        <v>0</v>
      </c>
      <c r="O2766" s="4"/>
      <c r="P2766" s="4"/>
      <c r="Q2766" s="11">
        <v>0</v>
      </c>
      <c r="R2766" s="4"/>
      <c r="S2766" s="12"/>
    </row>
    <row r="2767" spans="1:19" x14ac:dyDescent="0.25">
      <c r="A2767" s="9" t="s">
        <v>843</v>
      </c>
      <c r="B2767" s="9" t="s">
        <v>843</v>
      </c>
      <c r="C2767" s="4">
        <v>201005316</v>
      </c>
      <c r="D2767" s="4"/>
      <c r="E2767" s="4" t="str">
        <f>"111712010"</f>
        <v>111712010</v>
      </c>
      <c r="F2767" s="10">
        <v>40443</v>
      </c>
      <c r="G2767" s="11">
        <v>4000</v>
      </c>
      <c r="H2767" s="11">
        <v>4000</v>
      </c>
      <c r="I2767" s="4" t="s">
        <v>366</v>
      </c>
      <c r="J2767" s="4" t="s">
        <v>367</v>
      </c>
      <c r="K2767" s="11">
        <v>0</v>
      </c>
      <c r="L2767" s="4"/>
      <c r="M2767" s="4"/>
      <c r="N2767" s="11">
        <v>0</v>
      </c>
      <c r="O2767" s="4"/>
      <c r="P2767" s="4"/>
      <c r="Q2767" s="11">
        <v>0</v>
      </c>
      <c r="R2767" s="4"/>
      <c r="S2767" s="12"/>
    </row>
    <row r="2768" spans="1:19" x14ac:dyDescent="0.25">
      <c r="A2768" s="9" t="s">
        <v>843</v>
      </c>
      <c r="B2768" s="9" t="s">
        <v>843</v>
      </c>
      <c r="C2768" s="4">
        <v>201005338</v>
      </c>
      <c r="D2768" s="4"/>
      <c r="E2768" s="4" t="str">
        <f>"106332010"</f>
        <v>106332010</v>
      </c>
      <c r="F2768" s="10">
        <v>40417</v>
      </c>
      <c r="G2768" s="11">
        <v>4156.2700000000004</v>
      </c>
      <c r="H2768" s="11">
        <v>4156.2700000000004</v>
      </c>
      <c r="I2768" s="4" t="s">
        <v>366</v>
      </c>
      <c r="J2768" s="4" t="s">
        <v>367</v>
      </c>
      <c r="K2768" s="11">
        <v>0</v>
      </c>
      <c r="L2768" s="4"/>
      <c r="M2768" s="4"/>
      <c r="N2768" s="11">
        <v>0</v>
      </c>
      <c r="O2768" s="4"/>
      <c r="P2768" s="4"/>
      <c r="Q2768" s="11">
        <v>0</v>
      </c>
      <c r="R2768" s="4"/>
      <c r="S2768" s="12"/>
    </row>
    <row r="2769" spans="1:19" x14ac:dyDescent="0.25">
      <c r="A2769" s="9" t="s">
        <v>843</v>
      </c>
      <c r="B2769" s="9" t="s">
        <v>843</v>
      </c>
      <c r="C2769" s="4">
        <v>201005343</v>
      </c>
      <c r="D2769" s="4" t="s">
        <v>2420</v>
      </c>
      <c r="E2769" s="4" t="str">
        <f>"106902010"</f>
        <v>106902010</v>
      </c>
      <c r="F2769" s="10">
        <v>40420</v>
      </c>
      <c r="G2769" s="11">
        <v>10000</v>
      </c>
      <c r="H2769" s="11">
        <v>10000</v>
      </c>
      <c r="I2769" s="4" t="s">
        <v>366</v>
      </c>
      <c r="J2769" s="4" t="s">
        <v>367</v>
      </c>
      <c r="K2769" s="11">
        <v>0</v>
      </c>
      <c r="L2769" s="4"/>
      <c r="M2769" s="4"/>
      <c r="N2769" s="11">
        <v>0</v>
      </c>
      <c r="O2769" s="4"/>
      <c r="P2769" s="4"/>
      <c r="Q2769" s="11">
        <v>0</v>
      </c>
      <c r="R2769" s="4"/>
      <c r="S2769" s="12"/>
    </row>
    <row r="2770" spans="1:19" x14ac:dyDescent="0.25">
      <c r="A2770" s="9" t="s">
        <v>843</v>
      </c>
      <c r="B2770" s="9" t="s">
        <v>843</v>
      </c>
      <c r="C2770" s="4">
        <v>201005362</v>
      </c>
      <c r="D2770" s="4"/>
      <c r="E2770" s="4" t="str">
        <f>"113782010"</f>
        <v>113782010</v>
      </c>
      <c r="F2770" s="10">
        <v>40449</v>
      </c>
      <c r="G2770" s="11">
        <v>8277.2199999999993</v>
      </c>
      <c r="H2770" s="11">
        <v>8277.2199999999993</v>
      </c>
      <c r="I2770" s="4" t="s">
        <v>366</v>
      </c>
      <c r="J2770" s="4" t="s">
        <v>367</v>
      </c>
      <c r="K2770" s="11">
        <v>0</v>
      </c>
      <c r="L2770" s="4"/>
      <c r="M2770" s="4"/>
      <c r="N2770" s="11">
        <v>0</v>
      </c>
      <c r="O2770" s="4"/>
      <c r="P2770" s="4"/>
      <c r="Q2770" s="11">
        <v>0</v>
      </c>
      <c r="R2770" s="4"/>
      <c r="S2770" s="12"/>
    </row>
    <row r="2771" spans="1:19" x14ac:dyDescent="0.25">
      <c r="A2771" s="9" t="s">
        <v>843</v>
      </c>
      <c r="B2771" s="9" t="s">
        <v>843</v>
      </c>
      <c r="C2771" s="4">
        <v>201005365</v>
      </c>
      <c r="D2771" s="4"/>
      <c r="E2771" s="4" t="str">
        <f>"106922010"</f>
        <v>106922010</v>
      </c>
      <c r="F2771" s="10">
        <v>40420</v>
      </c>
      <c r="G2771" s="11">
        <v>15800</v>
      </c>
      <c r="H2771" s="11">
        <v>15800</v>
      </c>
      <c r="I2771" s="4" t="s">
        <v>366</v>
      </c>
      <c r="J2771" s="4" t="s">
        <v>367</v>
      </c>
      <c r="K2771" s="11">
        <v>0</v>
      </c>
      <c r="L2771" s="4"/>
      <c r="M2771" s="4"/>
      <c r="N2771" s="11">
        <v>0</v>
      </c>
      <c r="O2771" s="4"/>
      <c r="P2771" s="4"/>
      <c r="Q2771" s="11">
        <v>0</v>
      </c>
      <c r="R2771" s="4"/>
      <c r="S2771" s="12"/>
    </row>
    <row r="2772" spans="1:19" x14ac:dyDescent="0.25">
      <c r="A2772" s="9" t="s">
        <v>843</v>
      </c>
      <c r="B2772" s="9" t="s">
        <v>843</v>
      </c>
      <c r="C2772" s="4">
        <v>201005371</v>
      </c>
      <c r="D2772" s="4" t="s">
        <v>2421</v>
      </c>
      <c r="E2772" s="4" t="str">
        <f>"106682010"</f>
        <v>106682010</v>
      </c>
      <c r="F2772" s="10">
        <v>40417</v>
      </c>
      <c r="G2772" s="11">
        <v>30693.200000000001</v>
      </c>
      <c r="H2772" s="11">
        <v>30693.200000000001</v>
      </c>
      <c r="I2772" s="4" t="s">
        <v>366</v>
      </c>
      <c r="J2772" s="4" t="s">
        <v>367</v>
      </c>
      <c r="K2772" s="11">
        <v>0</v>
      </c>
      <c r="L2772" s="4"/>
      <c r="M2772" s="4"/>
      <c r="N2772" s="11">
        <v>0</v>
      </c>
      <c r="O2772" s="4"/>
      <c r="P2772" s="4"/>
      <c r="Q2772" s="11">
        <v>0</v>
      </c>
      <c r="R2772" s="4"/>
      <c r="S2772" s="12"/>
    </row>
    <row r="2773" spans="1:19" x14ac:dyDescent="0.25">
      <c r="A2773" s="9" t="s">
        <v>843</v>
      </c>
      <c r="B2773" s="9" t="s">
        <v>843</v>
      </c>
      <c r="C2773" s="4">
        <v>201005391</v>
      </c>
      <c r="D2773" s="4" t="s">
        <v>2422</v>
      </c>
      <c r="E2773" s="4" t="str">
        <f>"107062010"</f>
        <v>107062010</v>
      </c>
      <c r="F2773" s="10">
        <v>40420</v>
      </c>
      <c r="G2773" s="11">
        <v>25500</v>
      </c>
      <c r="H2773" s="11">
        <v>25500</v>
      </c>
      <c r="I2773" s="4" t="s">
        <v>366</v>
      </c>
      <c r="J2773" s="4" t="s">
        <v>367</v>
      </c>
      <c r="K2773" s="11">
        <v>0</v>
      </c>
      <c r="L2773" s="4"/>
      <c r="M2773" s="4"/>
      <c r="N2773" s="11">
        <v>0</v>
      </c>
      <c r="O2773" s="4"/>
      <c r="P2773" s="4"/>
      <c r="Q2773" s="11">
        <v>0</v>
      </c>
      <c r="R2773" s="4"/>
      <c r="S2773" s="12"/>
    </row>
    <row r="2774" spans="1:19" x14ac:dyDescent="0.25">
      <c r="A2774" s="9" t="s">
        <v>843</v>
      </c>
      <c r="B2774" s="9" t="s">
        <v>843</v>
      </c>
      <c r="C2774" s="4">
        <v>201005418</v>
      </c>
      <c r="D2774" s="4"/>
      <c r="E2774" s="4" t="str">
        <f>"107512010"</f>
        <v>107512010</v>
      </c>
      <c r="F2774" s="10">
        <v>40423</v>
      </c>
      <c r="G2774" s="11">
        <v>5630.31</v>
      </c>
      <c r="H2774" s="11">
        <v>5630.31</v>
      </c>
      <c r="I2774" s="4" t="s">
        <v>366</v>
      </c>
      <c r="J2774" s="4" t="s">
        <v>367</v>
      </c>
      <c r="K2774" s="11">
        <v>0</v>
      </c>
      <c r="L2774" s="4"/>
      <c r="M2774" s="4"/>
      <c r="N2774" s="11">
        <v>0</v>
      </c>
      <c r="O2774" s="4"/>
      <c r="P2774" s="4"/>
      <c r="Q2774" s="11">
        <v>0</v>
      </c>
      <c r="R2774" s="4"/>
      <c r="S2774" s="12"/>
    </row>
    <row r="2775" spans="1:19" x14ac:dyDescent="0.25">
      <c r="A2775" s="9" t="s">
        <v>843</v>
      </c>
      <c r="B2775" s="9" t="s">
        <v>843</v>
      </c>
      <c r="C2775" s="4">
        <v>201005507</v>
      </c>
      <c r="D2775" s="4"/>
      <c r="E2775" s="4" t="str">
        <f>"109532010"</f>
        <v>109532010</v>
      </c>
      <c r="F2775" s="10">
        <v>40430</v>
      </c>
      <c r="G2775" s="11">
        <v>3212.57</v>
      </c>
      <c r="H2775" s="11">
        <v>3212.57</v>
      </c>
      <c r="I2775" s="4" t="s">
        <v>366</v>
      </c>
      <c r="J2775" s="4" t="s">
        <v>367</v>
      </c>
      <c r="K2775" s="11">
        <v>0</v>
      </c>
      <c r="L2775" s="4"/>
      <c r="M2775" s="4"/>
      <c r="N2775" s="11">
        <v>0</v>
      </c>
      <c r="O2775" s="4"/>
      <c r="P2775" s="4"/>
      <c r="Q2775" s="11">
        <v>0</v>
      </c>
      <c r="R2775" s="4"/>
      <c r="S2775" s="12"/>
    </row>
    <row r="2776" spans="1:19" x14ac:dyDescent="0.25">
      <c r="A2776" s="9" t="s">
        <v>843</v>
      </c>
      <c r="B2776" s="9" t="s">
        <v>843</v>
      </c>
      <c r="C2776" s="4">
        <v>201005509</v>
      </c>
      <c r="D2776" s="4" t="s">
        <v>2423</v>
      </c>
      <c r="E2776" s="4" t="str">
        <f>"109512010"</f>
        <v>109512010</v>
      </c>
      <c r="F2776" s="10">
        <v>40430</v>
      </c>
      <c r="G2776" s="11">
        <v>3187</v>
      </c>
      <c r="H2776" s="11">
        <v>3187</v>
      </c>
      <c r="I2776" s="4" t="s">
        <v>366</v>
      </c>
      <c r="J2776" s="4" t="s">
        <v>367</v>
      </c>
      <c r="K2776" s="11">
        <v>0</v>
      </c>
      <c r="L2776" s="4"/>
      <c r="M2776" s="4"/>
      <c r="N2776" s="11">
        <v>0</v>
      </c>
      <c r="O2776" s="4"/>
      <c r="P2776" s="4"/>
      <c r="Q2776" s="11">
        <v>0</v>
      </c>
      <c r="R2776" s="4"/>
      <c r="S2776" s="12"/>
    </row>
    <row r="2777" spans="1:19" x14ac:dyDescent="0.25">
      <c r="A2777" s="9" t="s">
        <v>843</v>
      </c>
      <c r="B2777" s="9" t="s">
        <v>843</v>
      </c>
      <c r="C2777" s="4">
        <v>201005536</v>
      </c>
      <c r="D2777" s="4"/>
      <c r="E2777" s="4" t="str">
        <f>"110052010"</f>
        <v>110052010</v>
      </c>
      <c r="F2777" s="10">
        <v>40431</v>
      </c>
      <c r="G2777" s="11">
        <v>2714.21</v>
      </c>
      <c r="H2777" s="11">
        <v>2714.21</v>
      </c>
      <c r="I2777" s="4" t="s">
        <v>366</v>
      </c>
      <c r="J2777" s="4" t="s">
        <v>367</v>
      </c>
      <c r="K2777" s="11">
        <v>0</v>
      </c>
      <c r="L2777" s="4"/>
      <c r="M2777" s="4"/>
      <c r="N2777" s="11">
        <v>0</v>
      </c>
      <c r="O2777" s="4"/>
      <c r="P2777" s="4"/>
      <c r="Q2777" s="11">
        <v>0</v>
      </c>
      <c r="R2777" s="4"/>
      <c r="S2777" s="12"/>
    </row>
    <row r="2778" spans="1:19" x14ac:dyDescent="0.25">
      <c r="A2778" s="9" t="s">
        <v>843</v>
      </c>
      <c r="B2778" s="9" t="s">
        <v>843</v>
      </c>
      <c r="C2778" s="4">
        <v>201005539</v>
      </c>
      <c r="D2778" s="4"/>
      <c r="E2778" s="4" t="str">
        <f>"110652010"</f>
        <v>110652010</v>
      </c>
      <c r="F2778" s="10">
        <v>40435</v>
      </c>
      <c r="G2778" s="11">
        <v>8702</v>
      </c>
      <c r="H2778" s="11">
        <v>8702</v>
      </c>
      <c r="I2778" s="4" t="s">
        <v>54</v>
      </c>
      <c r="J2778" s="4" t="s">
        <v>55</v>
      </c>
      <c r="K2778" s="11">
        <v>0</v>
      </c>
      <c r="L2778" s="4"/>
      <c r="M2778" s="4"/>
      <c r="N2778" s="11">
        <v>0</v>
      </c>
      <c r="O2778" s="4"/>
      <c r="P2778" s="4"/>
      <c r="Q2778" s="11">
        <v>0</v>
      </c>
      <c r="R2778" s="4"/>
      <c r="S2778" s="12"/>
    </row>
    <row r="2779" spans="1:19" x14ac:dyDescent="0.25">
      <c r="A2779" s="9" t="s">
        <v>843</v>
      </c>
      <c r="B2779" s="9" t="s">
        <v>843</v>
      </c>
      <c r="C2779" s="4">
        <v>201005560</v>
      </c>
      <c r="D2779" s="4"/>
      <c r="E2779" s="4" t="str">
        <f>"110232010"</f>
        <v>110232010</v>
      </c>
      <c r="F2779" s="10">
        <v>40431</v>
      </c>
      <c r="G2779" s="11">
        <v>7821</v>
      </c>
      <c r="H2779" s="11">
        <v>7821</v>
      </c>
      <c r="I2779" s="4" t="s">
        <v>366</v>
      </c>
      <c r="J2779" s="4" t="s">
        <v>367</v>
      </c>
      <c r="K2779" s="11">
        <v>0</v>
      </c>
      <c r="L2779" s="4"/>
      <c r="M2779" s="4"/>
      <c r="N2779" s="11">
        <v>0</v>
      </c>
      <c r="O2779" s="4"/>
      <c r="P2779" s="4"/>
      <c r="Q2779" s="11">
        <v>0</v>
      </c>
      <c r="R2779" s="4"/>
      <c r="S2779" s="12"/>
    </row>
    <row r="2780" spans="1:19" x14ac:dyDescent="0.25">
      <c r="A2780" s="9" t="s">
        <v>843</v>
      </c>
      <c r="B2780" s="9" t="s">
        <v>843</v>
      </c>
      <c r="C2780" s="4">
        <v>201005588</v>
      </c>
      <c r="D2780" s="4"/>
      <c r="E2780" s="4" t="str">
        <f>"111772010"</f>
        <v>111772010</v>
      </c>
      <c r="F2780" s="10">
        <v>40443</v>
      </c>
      <c r="G2780" s="11">
        <v>16156.16</v>
      </c>
      <c r="H2780" s="11">
        <v>16156.16</v>
      </c>
      <c r="I2780" s="4" t="s">
        <v>366</v>
      </c>
      <c r="J2780" s="4" t="s">
        <v>367</v>
      </c>
      <c r="K2780" s="11">
        <v>0</v>
      </c>
      <c r="L2780" s="4"/>
      <c r="M2780" s="4"/>
      <c r="N2780" s="11">
        <v>0</v>
      </c>
      <c r="O2780" s="4"/>
      <c r="P2780" s="4"/>
      <c r="Q2780" s="11">
        <v>0</v>
      </c>
      <c r="R2780" s="4"/>
      <c r="S2780" s="12"/>
    </row>
    <row r="2781" spans="1:19" x14ac:dyDescent="0.25">
      <c r="A2781" s="9" t="s">
        <v>843</v>
      </c>
      <c r="B2781" s="9" t="s">
        <v>843</v>
      </c>
      <c r="C2781" s="4">
        <v>201005590</v>
      </c>
      <c r="D2781" s="4"/>
      <c r="E2781" s="4" t="str">
        <f>"111052010"</f>
        <v>111052010</v>
      </c>
      <c r="F2781" s="10">
        <v>40436</v>
      </c>
      <c r="G2781" s="11">
        <v>2630.65</v>
      </c>
      <c r="H2781" s="11">
        <v>2630.65</v>
      </c>
      <c r="I2781" s="4" t="s">
        <v>366</v>
      </c>
      <c r="J2781" s="4" t="s">
        <v>367</v>
      </c>
      <c r="K2781" s="11">
        <v>0</v>
      </c>
      <c r="L2781" s="4"/>
      <c r="M2781" s="4"/>
      <c r="N2781" s="11">
        <v>0</v>
      </c>
      <c r="O2781" s="4"/>
      <c r="P2781" s="4"/>
      <c r="Q2781" s="11">
        <v>0</v>
      </c>
      <c r="R2781" s="4"/>
      <c r="S2781" s="12"/>
    </row>
    <row r="2782" spans="1:19" x14ac:dyDescent="0.25">
      <c r="A2782" s="9" t="s">
        <v>843</v>
      </c>
      <c r="B2782" s="9" t="s">
        <v>843</v>
      </c>
      <c r="C2782" s="4">
        <v>201005591</v>
      </c>
      <c r="D2782" s="4"/>
      <c r="E2782" s="4" t="str">
        <f>"111252010"</f>
        <v>111252010</v>
      </c>
      <c r="F2782" s="10">
        <v>40436</v>
      </c>
      <c r="G2782" s="11">
        <v>2633.47</v>
      </c>
      <c r="H2782" s="11">
        <v>2633.47</v>
      </c>
      <c r="I2782" s="4" t="s">
        <v>366</v>
      </c>
      <c r="J2782" s="4" t="s">
        <v>367</v>
      </c>
      <c r="K2782" s="11">
        <v>0</v>
      </c>
      <c r="L2782" s="4"/>
      <c r="M2782" s="4"/>
      <c r="N2782" s="11">
        <v>0</v>
      </c>
      <c r="O2782" s="4"/>
      <c r="P2782" s="4"/>
      <c r="Q2782" s="11">
        <v>0</v>
      </c>
      <c r="R2782" s="4"/>
      <c r="S2782" s="12"/>
    </row>
    <row r="2783" spans="1:19" x14ac:dyDescent="0.25">
      <c r="A2783" s="9" t="s">
        <v>843</v>
      </c>
      <c r="B2783" s="9" t="s">
        <v>843</v>
      </c>
      <c r="C2783" s="4">
        <v>201005604</v>
      </c>
      <c r="D2783" s="4"/>
      <c r="E2783" s="4" t="str">
        <f>"112562010"</f>
        <v>112562010</v>
      </c>
      <c r="F2783" s="10">
        <v>40443</v>
      </c>
      <c r="G2783" s="11">
        <v>19588.32</v>
      </c>
      <c r="H2783" s="11">
        <v>19588.32</v>
      </c>
      <c r="I2783" s="4" t="s">
        <v>366</v>
      </c>
      <c r="J2783" s="4" t="s">
        <v>367</v>
      </c>
      <c r="K2783" s="11">
        <v>0</v>
      </c>
      <c r="L2783" s="4"/>
      <c r="M2783" s="4"/>
      <c r="N2783" s="11">
        <v>0</v>
      </c>
      <c r="O2783" s="4"/>
      <c r="P2783" s="4"/>
      <c r="Q2783" s="11">
        <v>0</v>
      </c>
      <c r="R2783" s="4"/>
      <c r="S2783" s="12"/>
    </row>
    <row r="2784" spans="1:19" x14ac:dyDescent="0.25">
      <c r="A2784" s="9" t="s">
        <v>843</v>
      </c>
      <c r="B2784" s="9" t="s">
        <v>843</v>
      </c>
      <c r="C2784" s="4">
        <v>201005606</v>
      </c>
      <c r="D2784" s="4"/>
      <c r="E2784" s="4" t="str">
        <f>"111872010"</f>
        <v>111872010</v>
      </c>
      <c r="F2784" s="10">
        <v>40444</v>
      </c>
      <c r="G2784" s="11">
        <v>23.24</v>
      </c>
      <c r="H2784" s="11">
        <v>0</v>
      </c>
      <c r="I2784" s="4"/>
      <c r="J2784" s="4"/>
      <c r="K2784" s="11">
        <v>0</v>
      </c>
      <c r="L2784" s="4"/>
      <c r="M2784" s="4"/>
      <c r="N2784" s="11">
        <v>23.24</v>
      </c>
      <c r="O2784" s="4" t="s">
        <v>1766</v>
      </c>
      <c r="P2784" s="4" t="s">
        <v>1767</v>
      </c>
      <c r="Q2784" s="11">
        <v>0</v>
      </c>
      <c r="R2784" s="4"/>
      <c r="S2784" s="12"/>
    </row>
    <row r="2785" spans="1:19" x14ac:dyDescent="0.25">
      <c r="A2785" s="9" t="s">
        <v>843</v>
      </c>
      <c r="B2785" s="9" t="s">
        <v>843</v>
      </c>
      <c r="C2785" s="4">
        <v>201005607</v>
      </c>
      <c r="D2785" s="4"/>
      <c r="E2785" s="4" t="str">
        <f>"112542010"</f>
        <v>112542010</v>
      </c>
      <c r="F2785" s="10">
        <v>40443</v>
      </c>
      <c r="G2785" s="11">
        <v>7900</v>
      </c>
      <c r="H2785" s="11">
        <v>7900</v>
      </c>
      <c r="I2785" s="4" t="s">
        <v>366</v>
      </c>
      <c r="J2785" s="4" t="s">
        <v>367</v>
      </c>
      <c r="K2785" s="11">
        <v>0</v>
      </c>
      <c r="L2785" s="4"/>
      <c r="M2785" s="4"/>
      <c r="N2785" s="11">
        <v>0</v>
      </c>
      <c r="O2785" s="4"/>
      <c r="P2785" s="4"/>
      <c r="Q2785" s="11">
        <v>0</v>
      </c>
      <c r="R2785" s="4"/>
      <c r="S2785" s="12"/>
    </row>
    <row r="2786" spans="1:19" x14ac:dyDescent="0.25">
      <c r="A2786" s="9" t="s">
        <v>843</v>
      </c>
      <c r="B2786" s="9" t="s">
        <v>843</v>
      </c>
      <c r="C2786" s="4">
        <v>201005608</v>
      </c>
      <c r="D2786" s="4"/>
      <c r="E2786" s="4" t="str">
        <f>"113282010"</f>
        <v>113282010</v>
      </c>
      <c r="F2786" s="10">
        <v>40445</v>
      </c>
      <c r="G2786" s="11">
        <v>3216.51</v>
      </c>
      <c r="H2786" s="11">
        <v>3216.51</v>
      </c>
      <c r="I2786" s="4" t="s">
        <v>54</v>
      </c>
      <c r="J2786" s="4" t="s">
        <v>55</v>
      </c>
      <c r="K2786" s="11">
        <v>0</v>
      </c>
      <c r="L2786" s="4"/>
      <c r="M2786" s="4"/>
      <c r="N2786" s="11">
        <v>0</v>
      </c>
      <c r="O2786" s="4"/>
      <c r="P2786" s="4"/>
      <c r="Q2786" s="11">
        <v>0</v>
      </c>
      <c r="R2786" s="4"/>
      <c r="S2786" s="12"/>
    </row>
    <row r="2787" spans="1:19" x14ac:dyDescent="0.25">
      <c r="A2787" s="9" t="s">
        <v>843</v>
      </c>
      <c r="B2787" s="9" t="s">
        <v>843</v>
      </c>
      <c r="C2787" s="4">
        <v>201005633</v>
      </c>
      <c r="D2787" s="4"/>
      <c r="E2787" s="4" t="str">
        <f>"114102010"</f>
        <v>114102010</v>
      </c>
      <c r="F2787" s="10">
        <v>40449</v>
      </c>
      <c r="G2787" s="11">
        <v>2608</v>
      </c>
      <c r="H2787" s="11">
        <v>2608</v>
      </c>
      <c r="I2787" s="4" t="s">
        <v>54</v>
      </c>
      <c r="J2787" s="4" t="s">
        <v>55</v>
      </c>
      <c r="K2787" s="11">
        <v>0</v>
      </c>
      <c r="L2787" s="4"/>
      <c r="M2787" s="4"/>
      <c r="N2787" s="11">
        <v>0</v>
      </c>
      <c r="O2787" s="4"/>
      <c r="P2787" s="4"/>
      <c r="Q2787" s="11">
        <v>0</v>
      </c>
      <c r="R2787" s="4"/>
      <c r="S2787" s="12"/>
    </row>
    <row r="2788" spans="1:19" x14ac:dyDescent="0.25">
      <c r="A2788" s="9" t="s">
        <v>843</v>
      </c>
      <c r="B2788" s="9" t="s">
        <v>843</v>
      </c>
      <c r="C2788" s="4">
        <v>201005670</v>
      </c>
      <c r="D2788" s="4" t="s">
        <v>2424</v>
      </c>
      <c r="E2788" s="4" t="str">
        <f>"113522010"</f>
        <v>113522010</v>
      </c>
      <c r="F2788" s="10">
        <v>40445</v>
      </c>
      <c r="G2788" s="11">
        <v>3275.41</v>
      </c>
      <c r="H2788" s="11">
        <v>3275.41</v>
      </c>
      <c r="I2788" s="4" t="s">
        <v>366</v>
      </c>
      <c r="J2788" s="4" t="s">
        <v>367</v>
      </c>
      <c r="K2788" s="11">
        <v>0</v>
      </c>
      <c r="L2788" s="4"/>
      <c r="M2788" s="4"/>
      <c r="N2788" s="11">
        <v>0</v>
      </c>
      <c r="O2788" s="4"/>
      <c r="P2788" s="4"/>
      <c r="Q2788" s="11">
        <v>0</v>
      </c>
      <c r="R2788" s="4"/>
      <c r="S2788" s="12"/>
    </row>
    <row r="2789" spans="1:19" x14ac:dyDescent="0.25">
      <c r="A2789" s="9" t="s">
        <v>843</v>
      </c>
      <c r="B2789" s="9" t="s">
        <v>843</v>
      </c>
      <c r="C2789" s="4">
        <v>201005676</v>
      </c>
      <c r="D2789" s="4"/>
      <c r="E2789" s="4" t="str">
        <f>"113722010"</f>
        <v>113722010</v>
      </c>
      <c r="F2789" s="10">
        <v>40450</v>
      </c>
      <c r="G2789" s="11">
        <v>6941.82</v>
      </c>
      <c r="H2789" s="11">
        <v>6941.82</v>
      </c>
      <c r="I2789" s="4" t="s">
        <v>366</v>
      </c>
      <c r="J2789" s="4" t="s">
        <v>367</v>
      </c>
      <c r="K2789" s="11">
        <v>0</v>
      </c>
      <c r="L2789" s="4"/>
      <c r="M2789" s="4"/>
      <c r="N2789" s="11">
        <v>0</v>
      </c>
      <c r="O2789" s="4"/>
      <c r="P2789" s="4"/>
      <c r="Q2789" s="11">
        <v>0</v>
      </c>
      <c r="R2789" s="4"/>
      <c r="S2789" s="12"/>
    </row>
    <row r="2790" spans="1:19" x14ac:dyDescent="0.25">
      <c r="A2790" s="9" t="s">
        <v>843</v>
      </c>
      <c r="B2790" s="9" t="s">
        <v>843</v>
      </c>
      <c r="C2790" s="4">
        <v>201005684</v>
      </c>
      <c r="D2790" s="4" t="s">
        <v>2425</v>
      </c>
      <c r="E2790" s="4" t="str">
        <f>"113682010"</f>
        <v>113682010</v>
      </c>
      <c r="F2790" s="10">
        <v>40450</v>
      </c>
      <c r="G2790" s="11">
        <v>10000</v>
      </c>
      <c r="H2790" s="11">
        <v>10000</v>
      </c>
      <c r="I2790" s="4" t="s">
        <v>366</v>
      </c>
      <c r="J2790" s="4" t="s">
        <v>367</v>
      </c>
      <c r="K2790" s="11">
        <v>0</v>
      </c>
      <c r="L2790" s="4"/>
      <c r="M2790" s="4"/>
      <c r="N2790" s="11">
        <v>0</v>
      </c>
      <c r="O2790" s="4"/>
      <c r="P2790" s="4"/>
      <c r="Q2790" s="11">
        <v>0</v>
      </c>
      <c r="R2790" s="4"/>
      <c r="S2790" s="12"/>
    </row>
    <row r="2791" spans="1:19" x14ac:dyDescent="0.25">
      <c r="A2791" s="9" t="s">
        <v>843</v>
      </c>
      <c r="B2791" s="9" t="s">
        <v>843</v>
      </c>
      <c r="C2791" s="4">
        <v>201005702</v>
      </c>
      <c r="D2791" s="4"/>
      <c r="E2791" s="4" t="str">
        <f>"113822010"</f>
        <v>113822010</v>
      </c>
      <c r="F2791" s="10">
        <v>40449</v>
      </c>
      <c r="G2791" s="11">
        <v>3848.7</v>
      </c>
      <c r="H2791" s="11">
        <v>3848.7</v>
      </c>
      <c r="I2791" s="4" t="s">
        <v>366</v>
      </c>
      <c r="J2791" s="4" t="s">
        <v>367</v>
      </c>
      <c r="K2791" s="11">
        <v>0</v>
      </c>
      <c r="L2791" s="4"/>
      <c r="M2791" s="4"/>
      <c r="N2791" s="11">
        <v>0</v>
      </c>
      <c r="O2791" s="4"/>
      <c r="P2791" s="4"/>
      <c r="Q2791" s="11">
        <v>0</v>
      </c>
      <c r="R2791" s="4"/>
      <c r="S2791" s="12"/>
    </row>
    <row r="2792" spans="1:19" x14ac:dyDescent="0.25">
      <c r="A2792" s="9" t="s">
        <v>843</v>
      </c>
      <c r="B2792" s="9" t="s">
        <v>843</v>
      </c>
      <c r="C2792" s="4">
        <v>201005755</v>
      </c>
      <c r="D2792" s="4" t="s">
        <v>2426</v>
      </c>
      <c r="E2792" s="4" t="str">
        <f>"115252010"</f>
        <v>115252010</v>
      </c>
      <c r="F2792" s="10">
        <v>40450</v>
      </c>
      <c r="G2792" s="11">
        <v>17500</v>
      </c>
      <c r="H2792" s="11">
        <v>17500</v>
      </c>
      <c r="I2792" s="4" t="s">
        <v>366</v>
      </c>
      <c r="J2792" s="4" t="s">
        <v>367</v>
      </c>
      <c r="K2792" s="11">
        <v>0</v>
      </c>
      <c r="L2792" s="4"/>
      <c r="M2792" s="4"/>
      <c r="N2792" s="11">
        <v>0</v>
      </c>
      <c r="O2792" s="4"/>
      <c r="P2792" s="4"/>
      <c r="Q2792" s="11">
        <v>0</v>
      </c>
      <c r="R2792" s="4"/>
      <c r="S2792" s="12"/>
    </row>
    <row r="2793" spans="1:19" x14ac:dyDescent="0.25">
      <c r="A2793" s="9" t="s">
        <v>2427</v>
      </c>
      <c r="B2793" s="9" t="s">
        <v>2427</v>
      </c>
      <c r="C2793" s="4">
        <v>201000919</v>
      </c>
      <c r="D2793" s="4"/>
      <c r="E2793" s="4" t="str">
        <f>"017342010"</f>
        <v>017342010</v>
      </c>
      <c r="F2793" s="10">
        <v>40150</v>
      </c>
      <c r="G2793" s="11">
        <v>3651.16</v>
      </c>
      <c r="H2793" s="11">
        <v>3651.16</v>
      </c>
      <c r="I2793" s="4" t="s">
        <v>366</v>
      </c>
      <c r="J2793" s="4" t="s">
        <v>367</v>
      </c>
      <c r="K2793" s="11">
        <v>0</v>
      </c>
      <c r="L2793" s="4"/>
      <c r="M2793" s="4"/>
      <c r="N2793" s="11">
        <v>0</v>
      </c>
      <c r="O2793" s="4"/>
      <c r="P2793" s="4"/>
      <c r="Q2793" s="11">
        <v>0</v>
      </c>
      <c r="R2793" s="4"/>
      <c r="S2793" s="12"/>
    </row>
    <row r="2794" spans="1:19" x14ac:dyDescent="0.25">
      <c r="A2794" s="9" t="s">
        <v>2427</v>
      </c>
      <c r="B2794" s="9" t="s">
        <v>2427</v>
      </c>
      <c r="C2794" s="4">
        <v>201003516</v>
      </c>
      <c r="D2794" s="4"/>
      <c r="E2794" s="4" t="str">
        <f>"086582010"</f>
        <v>086582010</v>
      </c>
      <c r="F2794" s="10">
        <v>40357</v>
      </c>
      <c r="G2794" s="11">
        <v>3867.88</v>
      </c>
      <c r="H2794" s="11">
        <v>3867.88</v>
      </c>
      <c r="I2794" s="4" t="s">
        <v>366</v>
      </c>
      <c r="J2794" s="4" t="s">
        <v>367</v>
      </c>
      <c r="K2794" s="11">
        <v>0</v>
      </c>
      <c r="L2794" s="4"/>
      <c r="M2794" s="4"/>
      <c r="N2794" s="11">
        <v>0</v>
      </c>
      <c r="O2794" s="4"/>
      <c r="P2794" s="4"/>
      <c r="Q2794" s="11">
        <v>0</v>
      </c>
      <c r="R2794" s="4"/>
      <c r="S2794" s="12"/>
    </row>
    <row r="2795" spans="1:19" x14ac:dyDescent="0.25">
      <c r="A2795" s="9" t="s">
        <v>2427</v>
      </c>
      <c r="B2795" s="9" t="s">
        <v>2427</v>
      </c>
      <c r="C2795" s="4">
        <v>201005404</v>
      </c>
      <c r="D2795" s="4"/>
      <c r="E2795" s="4" t="str">
        <f>"110872010"</f>
        <v>110872010</v>
      </c>
      <c r="F2795" s="10">
        <v>40436</v>
      </c>
      <c r="G2795" s="11">
        <v>3500</v>
      </c>
      <c r="H2795" s="11">
        <v>3500</v>
      </c>
      <c r="I2795" s="4" t="s">
        <v>366</v>
      </c>
      <c r="J2795" s="4" t="s">
        <v>367</v>
      </c>
      <c r="K2795" s="11">
        <v>0</v>
      </c>
      <c r="L2795" s="4"/>
      <c r="M2795" s="4"/>
      <c r="N2795" s="11">
        <v>0</v>
      </c>
      <c r="O2795" s="4"/>
      <c r="P2795" s="4"/>
      <c r="Q2795" s="11">
        <v>0</v>
      </c>
      <c r="R2795" s="4"/>
      <c r="S2795" s="12"/>
    </row>
    <row r="2796" spans="1:19" x14ac:dyDescent="0.25">
      <c r="A2796" s="9" t="s">
        <v>872</v>
      </c>
      <c r="B2796" s="9" t="s">
        <v>945</v>
      </c>
      <c r="C2796" s="4">
        <v>200905883</v>
      </c>
      <c r="D2796" s="4"/>
      <c r="E2796" s="4" t="str">
        <f>"087562009"</f>
        <v>087562009</v>
      </c>
      <c r="F2796" s="10">
        <v>40094</v>
      </c>
      <c r="G2796" s="11">
        <v>2744.92</v>
      </c>
      <c r="H2796" s="11">
        <v>2744.92</v>
      </c>
      <c r="I2796" s="4" t="s">
        <v>366</v>
      </c>
      <c r="J2796" s="4" t="s">
        <v>367</v>
      </c>
      <c r="K2796" s="11">
        <v>0</v>
      </c>
      <c r="L2796" s="4"/>
      <c r="M2796" s="4"/>
      <c r="N2796" s="11">
        <v>0</v>
      </c>
      <c r="O2796" s="4"/>
      <c r="P2796" s="4"/>
      <c r="Q2796" s="11">
        <v>0</v>
      </c>
      <c r="R2796" s="4"/>
      <c r="S2796" s="12"/>
    </row>
    <row r="2797" spans="1:19" x14ac:dyDescent="0.25">
      <c r="A2797" s="9" t="s">
        <v>872</v>
      </c>
      <c r="B2797" s="9" t="s">
        <v>945</v>
      </c>
      <c r="C2797" s="4">
        <v>201000180</v>
      </c>
      <c r="D2797" s="4"/>
      <c r="E2797" s="4" t="str">
        <f>"003082010"</f>
        <v>003082010</v>
      </c>
      <c r="F2797" s="10">
        <v>40101</v>
      </c>
      <c r="G2797" s="11">
        <v>4321.1000000000004</v>
      </c>
      <c r="H2797" s="11">
        <v>4321.1000000000004</v>
      </c>
      <c r="I2797" s="4" t="s">
        <v>366</v>
      </c>
      <c r="J2797" s="4" t="s">
        <v>367</v>
      </c>
      <c r="K2797" s="11">
        <v>0</v>
      </c>
      <c r="L2797" s="4"/>
      <c r="M2797" s="4"/>
      <c r="N2797" s="11">
        <v>0</v>
      </c>
      <c r="O2797" s="4"/>
      <c r="P2797" s="4"/>
      <c r="Q2797" s="11">
        <v>0</v>
      </c>
      <c r="R2797" s="4"/>
      <c r="S2797" s="12"/>
    </row>
    <row r="2798" spans="1:19" x14ac:dyDescent="0.25">
      <c r="A2798" s="9" t="s">
        <v>872</v>
      </c>
      <c r="B2798" s="9" t="s">
        <v>872</v>
      </c>
      <c r="C2798" s="4">
        <v>201001253</v>
      </c>
      <c r="D2798" s="4"/>
      <c r="E2798" s="4" t="str">
        <f>"025412010"</f>
        <v>025412010</v>
      </c>
      <c r="F2798" s="10">
        <v>40177</v>
      </c>
      <c r="G2798" s="11">
        <v>5115.5200000000004</v>
      </c>
      <c r="H2798" s="11">
        <v>5115.5200000000004</v>
      </c>
      <c r="I2798" s="4" t="s">
        <v>366</v>
      </c>
      <c r="J2798" s="4" t="s">
        <v>367</v>
      </c>
      <c r="K2798" s="11">
        <v>0</v>
      </c>
      <c r="L2798" s="4"/>
      <c r="M2798" s="4"/>
      <c r="N2798" s="11">
        <v>0</v>
      </c>
      <c r="O2798" s="4"/>
      <c r="P2798" s="4"/>
      <c r="Q2798" s="11">
        <v>0</v>
      </c>
      <c r="R2798" s="4"/>
      <c r="S2798" s="12"/>
    </row>
    <row r="2799" spans="1:19" x14ac:dyDescent="0.25">
      <c r="A2799" s="9" t="s">
        <v>872</v>
      </c>
      <c r="B2799" s="9" t="s">
        <v>872</v>
      </c>
      <c r="C2799" s="4">
        <v>201003253</v>
      </c>
      <c r="D2799" s="4"/>
      <c r="E2799" s="4" t="str">
        <f>"065142010"</f>
        <v>065142010</v>
      </c>
      <c r="F2799" s="10">
        <v>40304</v>
      </c>
      <c r="G2799" s="11">
        <v>3867.88</v>
      </c>
      <c r="H2799" s="11">
        <v>3867.88</v>
      </c>
      <c r="I2799" s="4" t="s">
        <v>366</v>
      </c>
      <c r="J2799" s="4" t="s">
        <v>367</v>
      </c>
      <c r="K2799" s="11">
        <v>0</v>
      </c>
      <c r="L2799" s="4"/>
      <c r="M2799" s="4"/>
      <c r="N2799" s="11">
        <v>0</v>
      </c>
      <c r="O2799" s="4"/>
      <c r="P2799" s="4"/>
      <c r="Q2799" s="11">
        <v>0</v>
      </c>
      <c r="R2799" s="4"/>
      <c r="S2799" s="12"/>
    </row>
    <row r="2800" spans="1:19" x14ac:dyDescent="0.25">
      <c r="A2800" s="9" t="s">
        <v>872</v>
      </c>
      <c r="B2800" s="9" t="s">
        <v>945</v>
      </c>
      <c r="C2800" s="4">
        <v>201003669</v>
      </c>
      <c r="D2800" s="4"/>
      <c r="E2800" s="4" t="str">
        <f>"073312010"</f>
        <v>073312010</v>
      </c>
      <c r="F2800" s="10">
        <v>40324</v>
      </c>
      <c r="G2800" s="11">
        <v>7782.56</v>
      </c>
      <c r="H2800" s="11">
        <v>7782.56</v>
      </c>
      <c r="I2800" s="4" t="s">
        <v>366</v>
      </c>
      <c r="J2800" s="4" t="s">
        <v>367</v>
      </c>
      <c r="K2800" s="11">
        <v>0</v>
      </c>
      <c r="L2800" s="4"/>
      <c r="M2800" s="4"/>
      <c r="N2800" s="11">
        <v>0</v>
      </c>
      <c r="O2800" s="4"/>
      <c r="P2800" s="4"/>
      <c r="Q2800" s="11">
        <v>0</v>
      </c>
      <c r="R2800" s="4"/>
      <c r="S2800" s="12"/>
    </row>
    <row r="2801" spans="1:19" x14ac:dyDescent="0.25">
      <c r="A2801" s="9" t="s">
        <v>878</v>
      </c>
      <c r="B2801" s="9" t="s">
        <v>878</v>
      </c>
      <c r="C2801" s="4">
        <v>201000413</v>
      </c>
      <c r="D2801" s="4" t="s">
        <v>2428</v>
      </c>
      <c r="E2801" s="4" t="str">
        <f>"009172010"</f>
        <v>009172010</v>
      </c>
      <c r="F2801" s="10">
        <v>40122</v>
      </c>
      <c r="G2801" s="11">
        <v>3800.84</v>
      </c>
      <c r="H2801" s="11">
        <v>3800.84</v>
      </c>
      <c r="I2801" s="4" t="s">
        <v>366</v>
      </c>
      <c r="J2801" s="4" t="s">
        <v>367</v>
      </c>
      <c r="K2801" s="11">
        <v>0</v>
      </c>
      <c r="L2801" s="4"/>
      <c r="M2801" s="4"/>
      <c r="N2801" s="11">
        <v>0</v>
      </c>
      <c r="O2801" s="4"/>
      <c r="P2801" s="4"/>
      <c r="Q2801" s="11">
        <v>0</v>
      </c>
      <c r="R2801" s="4"/>
      <c r="S2801" s="12"/>
    </row>
    <row r="2802" spans="1:19" x14ac:dyDescent="0.25">
      <c r="A2802" s="9" t="s">
        <v>878</v>
      </c>
      <c r="B2802" s="9" t="s">
        <v>552</v>
      </c>
      <c r="C2802" s="4">
        <v>201000441</v>
      </c>
      <c r="D2802" s="4" t="s">
        <v>2429</v>
      </c>
      <c r="E2802" s="4" t="str">
        <f>"008092010"</f>
        <v>008092010</v>
      </c>
      <c r="F2802" s="10">
        <v>40116</v>
      </c>
      <c r="G2802" s="11">
        <v>12583</v>
      </c>
      <c r="H2802" s="11">
        <v>12583</v>
      </c>
      <c r="I2802" s="4" t="s">
        <v>54</v>
      </c>
      <c r="J2802" s="4" t="s">
        <v>55</v>
      </c>
      <c r="K2802" s="11">
        <v>0</v>
      </c>
      <c r="L2802" s="4"/>
      <c r="M2802" s="4"/>
      <c r="N2802" s="11">
        <v>0</v>
      </c>
      <c r="O2802" s="4"/>
      <c r="P2802" s="4"/>
      <c r="Q2802" s="11">
        <v>0</v>
      </c>
      <c r="R2802" s="4"/>
      <c r="S2802" s="12"/>
    </row>
    <row r="2803" spans="1:19" x14ac:dyDescent="0.25">
      <c r="A2803" s="9" t="s">
        <v>878</v>
      </c>
      <c r="B2803" s="9" t="s">
        <v>552</v>
      </c>
      <c r="C2803" s="4">
        <v>201001500</v>
      </c>
      <c r="D2803" s="4"/>
      <c r="E2803" s="4" t="str">
        <f>"029712010"</f>
        <v>029712010</v>
      </c>
      <c r="F2803" s="10">
        <v>40191</v>
      </c>
      <c r="G2803" s="11">
        <v>22380</v>
      </c>
      <c r="H2803" s="11">
        <v>22380</v>
      </c>
      <c r="I2803" s="4" t="s">
        <v>54</v>
      </c>
      <c r="J2803" s="4" t="s">
        <v>55</v>
      </c>
      <c r="K2803" s="11">
        <v>0</v>
      </c>
      <c r="L2803" s="4"/>
      <c r="M2803" s="4"/>
      <c r="N2803" s="11">
        <v>0</v>
      </c>
      <c r="O2803" s="4"/>
      <c r="P2803" s="4"/>
      <c r="Q2803" s="11">
        <v>0</v>
      </c>
      <c r="R2803" s="4"/>
      <c r="S2803" s="12"/>
    </row>
    <row r="2804" spans="1:19" x14ac:dyDescent="0.25">
      <c r="A2804" s="9" t="s">
        <v>878</v>
      </c>
      <c r="B2804" s="9" t="s">
        <v>552</v>
      </c>
      <c r="C2804" s="4">
        <v>201001715</v>
      </c>
      <c r="D2804" s="4"/>
      <c r="E2804" s="4" t="str">
        <f>"033522010"</f>
        <v>033522010</v>
      </c>
      <c r="F2804" s="10">
        <v>40205</v>
      </c>
      <c r="G2804" s="11">
        <v>7576.61</v>
      </c>
      <c r="H2804" s="11">
        <v>7576.61</v>
      </c>
      <c r="I2804" s="4" t="s">
        <v>366</v>
      </c>
      <c r="J2804" s="4" t="s">
        <v>367</v>
      </c>
      <c r="K2804" s="11">
        <v>0</v>
      </c>
      <c r="L2804" s="4"/>
      <c r="M2804" s="4"/>
      <c r="N2804" s="11">
        <v>0</v>
      </c>
      <c r="O2804" s="4"/>
      <c r="P2804" s="4"/>
      <c r="Q2804" s="11">
        <v>0</v>
      </c>
      <c r="R2804" s="4"/>
      <c r="S2804" s="12"/>
    </row>
    <row r="2805" spans="1:19" x14ac:dyDescent="0.25">
      <c r="A2805" s="9" t="s">
        <v>878</v>
      </c>
      <c r="B2805" s="9" t="s">
        <v>552</v>
      </c>
      <c r="C2805" s="4">
        <v>201001786</v>
      </c>
      <c r="D2805" s="4" t="s">
        <v>2430</v>
      </c>
      <c r="E2805" s="4" t="str">
        <f>"034772010"</f>
        <v>034772010</v>
      </c>
      <c r="F2805" s="10">
        <v>40213</v>
      </c>
      <c r="G2805" s="11">
        <v>3217.63</v>
      </c>
      <c r="H2805" s="11">
        <v>3217.63</v>
      </c>
      <c r="I2805" s="4" t="s">
        <v>366</v>
      </c>
      <c r="J2805" s="4" t="s">
        <v>367</v>
      </c>
      <c r="K2805" s="11">
        <v>0</v>
      </c>
      <c r="L2805" s="4"/>
      <c r="M2805" s="4"/>
      <c r="N2805" s="11">
        <v>0</v>
      </c>
      <c r="O2805" s="4"/>
      <c r="P2805" s="4"/>
      <c r="Q2805" s="11">
        <v>0</v>
      </c>
      <c r="R2805" s="4"/>
      <c r="S2805" s="12"/>
    </row>
    <row r="2806" spans="1:19" x14ac:dyDescent="0.25">
      <c r="A2806" s="9" t="s">
        <v>878</v>
      </c>
      <c r="B2806" s="9" t="s">
        <v>878</v>
      </c>
      <c r="C2806" s="4">
        <v>201002694</v>
      </c>
      <c r="D2806" s="4"/>
      <c r="E2806" s="4" t="str">
        <f>"055372010"</f>
        <v>055372010</v>
      </c>
      <c r="F2806" s="10">
        <v>40275</v>
      </c>
      <c r="G2806" s="11">
        <v>5550.88</v>
      </c>
      <c r="H2806" s="11">
        <v>5550.88</v>
      </c>
      <c r="I2806" s="4" t="s">
        <v>366</v>
      </c>
      <c r="J2806" s="4" t="s">
        <v>367</v>
      </c>
      <c r="K2806" s="11">
        <v>0</v>
      </c>
      <c r="L2806" s="4"/>
      <c r="M2806" s="4"/>
      <c r="N2806" s="11">
        <v>0</v>
      </c>
      <c r="O2806" s="4"/>
      <c r="P2806" s="4"/>
      <c r="Q2806" s="11">
        <v>0</v>
      </c>
      <c r="R2806" s="4"/>
      <c r="S2806" s="12"/>
    </row>
    <row r="2807" spans="1:19" x14ac:dyDescent="0.25">
      <c r="A2807" s="9" t="s">
        <v>878</v>
      </c>
      <c r="B2807" s="9" t="s">
        <v>878</v>
      </c>
      <c r="C2807" s="4">
        <v>201003695</v>
      </c>
      <c r="D2807" s="4"/>
      <c r="E2807" s="4" t="str">
        <f>"073172010"</f>
        <v>073172010</v>
      </c>
      <c r="F2807" s="10">
        <v>40324</v>
      </c>
      <c r="G2807" s="11">
        <v>4981.66</v>
      </c>
      <c r="H2807" s="11">
        <v>4981.66</v>
      </c>
      <c r="I2807" s="4" t="s">
        <v>366</v>
      </c>
      <c r="J2807" s="4" t="s">
        <v>367</v>
      </c>
      <c r="K2807" s="11">
        <v>0</v>
      </c>
      <c r="L2807" s="4"/>
      <c r="M2807" s="4"/>
      <c r="N2807" s="11">
        <v>0</v>
      </c>
      <c r="O2807" s="4"/>
      <c r="P2807" s="4"/>
      <c r="Q2807" s="11">
        <v>0</v>
      </c>
      <c r="R2807" s="4"/>
      <c r="S2807" s="12"/>
    </row>
    <row r="2808" spans="1:19" x14ac:dyDescent="0.25">
      <c r="A2808" s="9" t="s">
        <v>878</v>
      </c>
      <c r="B2808" s="9" t="s">
        <v>878</v>
      </c>
      <c r="C2808" s="4">
        <v>201003819</v>
      </c>
      <c r="D2808" s="4"/>
      <c r="E2808" s="4" t="str">
        <f>"076312010"</f>
        <v>076312010</v>
      </c>
      <c r="F2808" s="10">
        <v>40333</v>
      </c>
      <c r="G2808" s="11">
        <v>3023.36</v>
      </c>
      <c r="H2808" s="11">
        <v>3023.36</v>
      </c>
      <c r="I2808" s="4" t="s">
        <v>366</v>
      </c>
      <c r="J2808" s="4" t="s">
        <v>367</v>
      </c>
      <c r="K2808" s="11">
        <v>0</v>
      </c>
      <c r="L2808" s="4"/>
      <c r="M2808" s="4"/>
      <c r="N2808" s="11">
        <v>0</v>
      </c>
      <c r="O2808" s="4"/>
      <c r="P2808" s="4"/>
      <c r="Q2808" s="11">
        <v>0</v>
      </c>
      <c r="R2808" s="4"/>
      <c r="S2808" s="12"/>
    </row>
    <row r="2809" spans="1:19" x14ac:dyDescent="0.25">
      <c r="A2809" s="9" t="s">
        <v>878</v>
      </c>
      <c r="B2809" s="9" t="s">
        <v>878</v>
      </c>
      <c r="C2809" s="4">
        <v>201004811</v>
      </c>
      <c r="D2809" s="4"/>
      <c r="E2809" s="4" t="str">
        <f>"096552010"</f>
        <v>096552010</v>
      </c>
      <c r="F2809" s="10">
        <v>40387</v>
      </c>
      <c r="G2809" s="11">
        <v>3898.09</v>
      </c>
      <c r="H2809" s="11">
        <v>3898.09</v>
      </c>
      <c r="I2809" s="4" t="s">
        <v>366</v>
      </c>
      <c r="J2809" s="4" t="s">
        <v>367</v>
      </c>
      <c r="K2809" s="11">
        <v>0</v>
      </c>
      <c r="L2809" s="4"/>
      <c r="M2809" s="4"/>
      <c r="N2809" s="11">
        <v>0</v>
      </c>
      <c r="O2809" s="4"/>
      <c r="P2809" s="4"/>
      <c r="Q2809" s="11">
        <v>0</v>
      </c>
      <c r="R2809" s="4"/>
      <c r="S2809" s="12"/>
    </row>
    <row r="2810" spans="1:19" x14ac:dyDescent="0.25">
      <c r="A2810" s="9" t="s">
        <v>878</v>
      </c>
      <c r="B2810" s="9" t="s">
        <v>552</v>
      </c>
      <c r="C2810" s="4">
        <v>201005741</v>
      </c>
      <c r="D2810" s="4"/>
      <c r="E2810" s="4" t="str">
        <f>"114772010"</f>
        <v>114772010</v>
      </c>
      <c r="F2810" s="10">
        <v>40450</v>
      </c>
      <c r="G2810" s="11">
        <v>20000</v>
      </c>
      <c r="H2810" s="11">
        <v>20000</v>
      </c>
      <c r="I2810" s="4" t="s">
        <v>366</v>
      </c>
      <c r="J2810" s="4" t="s">
        <v>367</v>
      </c>
      <c r="K2810" s="11">
        <v>0</v>
      </c>
      <c r="L2810" s="4"/>
      <c r="M2810" s="4"/>
      <c r="N2810" s="11">
        <v>0</v>
      </c>
      <c r="O2810" s="4"/>
      <c r="P2810" s="4"/>
      <c r="Q2810" s="11">
        <v>0</v>
      </c>
      <c r="R2810" s="4"/>
      <c r="S2810" s="12"/>
    </row>
    <row r="2811" spans="1:19" x14ac:dyDescent="0.25">
      <c r="A2811" s="9" t="s">
        <v>2431</v>
      </c>
      <c r="B2811" s="9" t="s">
        <v>2431</v>
      </c>
      <c r="C2811" s="4">
        <v>201002016</v>
      </c>
      <c r="D2811" s="4" t="s">
        <v>2432</v>
      </c>
      <c r="E2811" s="4" t="str">
        <f>"039662010"</f>
        <v>039662010</v>
      </c>
      <c r="F2811" s="10">
        <v>40232</v>
      </c>
      <c r="G2811" s="11">
        <v>50000</v>
      </c>
      <c r="H2811" s="11">
        <v>50000</v>
      </c>
      <c r="I2811" s="4" t="s">
        <v>366</v>
      </c>
      <c r="J2811" s="4" t="s">
        <v>367</v>
      </c>
      <c r="K2811" s="11">
        <v>0</v>
      </c>
      <c r="L2811" s="4"/>
      <c r="M2811" s="4"/>
      <c r="N2811" s="11">
        <v>0</v>
      </c>
      <c r="O2811" s="4"/>
      <c r="P2811" s="4"/>
      <c r="Q2811" s="11">
        <v>0</v>
      </c>
      <c r="R2811" s="4"/>
      <c r="S2811" s="12"/>
    </row>
    <row r="2812" spans="1:19" x14ac:dyDescent="0.25">
      <c r="A2812" s="9" t="s">
        <v>2431</v>
      </c>
      <c r="B2812" s="9" t="s">
        <v>2431</v>
      </c>
      <c r="C2812" s="4">
        <v>201003204</v>
      </c>
      <c r="D2812" s="4" t="s">
        <v>2433</v>
      </c>
      <c r="E2812" s="4" t="str">
        <f>"063282010"</f>
        <v>063282010</v>
      </c>
      <c r="F2812" s="10">
        <v>40297</v>
      </c>
      <c r="G2812" s="11">
        <v>45000</v>
      </c>
      <c r="H2812" s="11">
        <v>45000</v>
      </c>
      <c r="I2812" s="4" t="s">
        <v>931</v>
      </c>
      <c r="J2812" s="4" t="s">
        <v>932</v>
      </c>
      <c r="K2812" s="11">
        <v>0</v>
      </c>
      <c r="L2812" s="4"/>
      <c r="M2812" s="4"/>
      <c r="N2812" s="11">
        <v>0</v>
      </c>
      <c r="O2812" s="4"/>
      <c r="P2812" s="4"/>
      <c r="Q2812" s="11">
        <v>0</v>
      </c>
      <c r="R2812" s="4"/>
      <c r="S2812" s="12"/>
    </row>
    <row r="2813" spans="1:19" x14ac:dyDescent="0.25">
      <c r="A2813" s="9" t="s">
        <v>2431</v>
      </c>
      <c r="B2813" s="9" t="s">
        <v>2431</v>
      </c>
      <c r="C2813" s="4">
        <v>201005271</v>
      </c>
      <c r="D2813" s="4"/>
      <c r="E2813" s="4" t="str">
        <f>"104832010"</f>
        <v>104832010</v>
      </c>
      <c r="F2813" s="10">
        <v>40415</v>
      </c>
      <c r="G2813" s="11">
        <v>6701.11</v>
      </c>
      <c r="H2813" s="11">
        <v>6701.11</v>
      </c>
      <c r="I2813" s="4" t="s">
        <v>366</v>
      </c>
      <c r="J2813" s="4" t="s">
        <v>367</v>
      </c>
      <c r="K2813" s="11">
        <v>0</v>
      </c>
      <c r="L2813" s="4"/>
      <c r="M2813" s="4"/>
      <c r="N2813" s="11">
        <v>0</v>
      </c>
      <c r="O2813" s="4"/>
      <c r="P2813" s="4"/>
      <c r="Q2813" s="11">
        <v>0</v>
      </c>
      <c r="R2813" s="4"/>
      <c r="S2813" s="12"/>
    </row>
    <row r="2814" spans="1:19" x14ac:dyDescent="0.25">
      <c r="A2814" s="9" t="s">
        <v>2434</v>
      </c>
      <c r="B2814" s="9" t="s">
        <v>2434</v>
      </c>
      <c r="C2814" s="4">
        <v>201003362</v>
      </c>
      <c r="D2814" s="4" t="s">
        <v>2435</v>
      </c>
      <c r="E2814" s="4" t="str">
        <f>"066682010"</f>
        <v>066682010</v>
      </c>
      <c r="F2814" s="10">
        <v>40310</v>
      </c>
      <c r="G2814" s="11">
        <v>25000</v>
      </c>
      <c r="H2814" s="11">
        <v>25000</v>
      </c>
      <c r="I2814" s="4" t="s">
        <v>54</v>
      </c>
      <c r="J2814" s="4" t="s">
        <v>55</v>
      </c>
      <c r="K2814" s="11">
        <v>0</v>
      </c>
      <c r="L2814" s="4"/>
      <c r="M2814" s="4"/>
      <c r="N2814" s="11">
        <v>0</v>
      </c>
      <c r="O2814" s="4"/>
      <c r="P2814" s="4"/>
      <c r="Q2814" s="11">
        <v>0</v>
      </c>
      <c r="R2814" s="4"/>
      <c r="S2814" s="12"/>
    </row>
    <row r="2815" spans="1:19" x14ac:dyDescent="0.25">
      <c r="A2815" s="9" t="s">
        <v>893</v>
      </c>
      <c r="B2815" s="9" t="s">
        <v>265</v>
      </c>
      <c r="C2815" s="4">
        <v>201000232</v>
      </c>
      <c r="D2815" s="4"/>
      <c r="E2815" s="4" t="str">
        <f>"005752010"</f>
        <v>005752010</v>
      </c>
      <c r="F2815" s="10">
        <v>40109</v>
      </c>
      <c r="G2815" s="11">
        <v>8033.3</v>
      </c>
      <c r="H2815" s="11">
        <v>8033.3</v>
      </c>
      <c r="I2815" s="4" t="s">
        <v>366</v>
      </c>
      <c r="J2815" s="4" t="s">
        <v>367</v>
      </c>
      <c r="K2815" s="11">
        <v>0</v>
      </c>
      <c r="L2815" s="4"/>
      <c r="M2815" s="4"/>
      <c r="N2815" s="11">
        <v>0</v>
      </c>
      <c r="O2815" s="4"/>
      <c r="P2815" s="4"/>
      <c r="Q2815" s="11">
        <v>0</v>
      </c>
      <c r="R2815" s="4"/>
      <c r="S2815" s="12"/>
    </row>
    <row r="2816" spans="1:19" x14ac:dyDescent="0.25">
      <c r="A2816" s="9" t="s">
        <v>893</v>
      </c>
      <c r="B2816" s="9" t="s">
        <v>265</v>
      </c>
      <c r="C2816" s="4">
        <v>201002089</v>
      </c>
      <c r="D2816" s="4" t="s">
        <v>2436</v>
      </c>
      <c r="E2816" s="4" t="str">
        <f>"041142010"</f>
        <v>041142010</v>
      </c>
      <c r="F2816" s="10">
        <v>40234</v>
      </c>
      <c r="G2816" s="11">
        <v>6153.46</v>
      </c>
      <c r="H2816" s="11">
        <v>6153.46</v>
      </c>
      <c r="I2816" s="4" t="s">
        <v>366</v>
      </c>
      <c r="J2816" s="4" t="s">
        <v>367</v>
      </c>
      <c r="K2816" s="11">
        <v>0</v>
      </c>
      <c r="L2816" s="4"/>
      <c r="M2816" s="4"/>
      <c r="N2816" s="11">
        <v>0</v>
      </c>
      <c r="O2816" s="4"/>
      <c r="P2816" s="4"/>
      <c r="Q2816" s="11">
        <v>0</v>
      </c>
      <c r="R2816" s="4"/>
      <c r="S2816" s="12"/>
    </row>
    <row r="2817" spans="1:19" x14ac:dyDescent="0.25">
      <c r="A2817" s="9" t="s">
        <v>893</v>
      </c>
      <c r="B2817" s="9" t="s">
        <v>265</v>
      </c>
      <c r="C2817" s="4">
        <v>201004924</v>
      </c>
      <c r="D2817" s="4"/>
      <c r="E2817" s="4" t="str">
        <f>"100472010"</f>
        <v>100472010</v>
      </c>
      <c r="F2817" s="10">
        <v>40403</v>
      </c>
      <c r="G2817" s="11">
        <v>2565.61</v>
      </c>
      <c r="H2817" s="11">
        <v>2565.61</v>
      </c>
      <c r="I2817" s="4" t="s">
        <v>366</v>
      </c>
      <c r="J2817" s="4" t="s">
        <v>367</v>
      </c>
      <c r="K2817" s="11">
        <v>0</v>
      </c>
      <c r="L2817" s="4"/>
      <c r="M2817" s="4"/>
      <c r="N2817" s="11">
        <v>0</v>
      </c>
      <c r="O2817" s="4"/>
      <c r="P2817" s="4"/>
      <c r="Q2817" s="11">
        <v>0</v>
      </c>
      <c r="R2817" s="4"/>
      <c r="S2817" s="12"/>
    </row>
    <row r="2818" spans="1:19" x14ac:dyDescent="0.25">
      <c r="A2818" s="9" t="s">
        <v>893</v>
      </c>
      <c r="B2818" s="9" t="s">
        <v>893</v>
      </c>
      <c r="C2818" s="4">
        <v>201005468</v>
      </c>
      <c r="D2818" s="4"/>
      <c r="E2818" s="4" t="str">
        <f>"108512010"</f>
        <v>108512010</v>
      </c>
      <c r="F2818" s="10">
        <v>40424</v>
      </c>
      <c r="G2818" s="11">
        <v>3568.81</v>
      </c>
      <c r="H2818" s="11">
        <v>3568.81</v>
      </c>
      <c r="I2818" s="4" t="s">
        <v>366</v>
      </c>
      <c r="J2818" s="4" t="s">
        <v>367</v>
      </c>
      <c r="K2818" s="11">
        <v>0</v>
      </c>
      <c r="L2818" s="4"/>
      <c r="M2818" s="4"/>
      <c r="N2818" s="11">
        <v>0</v>
      </c>
      <c r="O2818" s="4"/>
      <c r="P2818" s="4"/>
      <c r="Q2818" s="11">
        <v>0</v>
      </c>
      <c r="R2818" s="4"/>
      <c r="S2818" s="12"/>
    </row>
    <row r="2819" spans="1:19" x14ac:dyDescent="0.25">
      <c r="A2819" s="9" t="s">
        <v>895</v>
      </c>
      <c r="B2819" s="9" t="s">
        <v>195</v>
      </c>
      <c r="C2819" s="4">
        <v>201000433</v>
      </c>
      <c r="D2819" s="4"/>
      <c r="E2819" s="4" t="str">
        <f>"008192010"</f>
        <v>008192010</v>
      </c>
      <c r="F2819" s="10">
        <v>40120</v>
      </c>
      <c r="G2819" s="11">
        <v>14965.44</v>
      </c>
      <c r="H2819" s="11">
        <v>13750</v>
      </c>
      <c r="I2819" s="4" t="s">
        <v>366</v>
      </c>
      <c r="J2819" s="4" t="s">
        <v>367</v>
      </c>
      <c r="K2819" s="11">
        <v>0</v>
      </c>
      <c r="L2819" s="4"/>
      <c r="M2819" s="4"/>
      <c r="N2819" s="11">
        <v>1215.44</v>
      </c>
      <c r="O2819" s="4" t="s">
        <v>366</v>
      </c>
      <c r="P2819" s="4" t="s">
        <v>367</v>
      </c>
      <c r="Q2819" s="11">
        <v>0</v>
      </c>
      <c r="R2819" s="4"/>
      <c r="S2819" s="12"/>
    </row>
    <row r="2820" spans="1:19" x14ac:dyDescent="0.25">
      <c r="A2820" s="9" t="s">
        <v>895</v>
      </c>
      <c r="B2820" s="9" t="s">
        <v>895</v>
      </c>
      <c r="C2820" s="4">
        <v>201000879</v>
      </c>
      <c r="D2820" s="4" t="s">
        <v>2437</v>
      </c>
      <c r="E2820" s="4" t="str">
        <f>"016902010"</f>
        <v>016902010</v>
      </c>
      <c r="F2820" s="10">
        <v>40149</v>
      </c>
      <c r="G2820" s="11">
        <v>3900</v>
      </c>
      <c r="H2820" s="11">
        <v>3900</v>
      </c>
      <c r="I2820" s="4" t="s">
        <v>366</v>
      </c>
      <c r="J2820" s="4" t="s">
        <v>367</v>
      </c>
      <c r="K2820" s="11">
        <v>0</v>
      </c>
      <c r="L2820" s="4"/>
      <c r="M2820" s="4"/>
      <c r="N2820" s="11">
        <v>0</v>
      </c>
      <c r="O2820" s="4"/>
      <c r="P2820" s="4"/>
      <c r="Q2820" s="11">
        <v>0</v>
      </c>
      <c r="R2820" s="4"/>
      <c r="S2820" s="12"/>
    </row>
    <row r="2821" spans="1:19" x14ac:dyDescent="0.25">
      <c r="A2821" s="9" t="s">
        <v>895</v>
      </c>
      <c r="B2821" s="9" t="s">
        <v>895</v>
      </c>
      <c r="C2821" s="4">
        <v>201001077</v>
      </c>
      <c r="D2821" s="4"/>
      <c r="E2821" s="4" t="str">
        <f>"020402010"</f>
        <v>020402010</v>
      </c>
      <c r="F2821" s="10">
        <v>40157</v>
      </c>
      <c r="G2821" s="11">
        <v>3207.05</v>
      </c>
      <c r="H2821" s="11">
        <v>3207.05</v>
      </c>
      <c r="I2821" s="4" t="s">
        <v>366</v>
      </c>
      <c r="J2821" s="4" t="s">
        <v>367</v>
      </c>
      <c r="K2821" s="11">
        <v>0</v>
      </c>
      <c r="L2821" s="4"/>
      <c r="M2821" s="4"/>
      <c r="N2821" s="11">
        <v>0</v>
      </c>
      <c r="O2821" s="4"/>
      <c r="P2821" s="4"/>
      <c r="Q2821" s="11">
        <v>0</v>
      </c>
      <c r="R2821" s="4"/>
      <c r="S2821" s="12"/>
    </row>
    <row r="2822" spans="1:19" x14ac:dyDescent="0.25">
      <c r="A2822" s="9" t="s">
        <v>895</v>
      </c>
      <c r="B2822" s="9" t="s">
        <v>895</v>
      </c>
      <c r="C2822" s="4">
        <v>201002020</v>
      </c>
      <c r="D2822" s="4"/>
      <c r="E2822" s="4" t="str">
        <f>"040162010"</f>
        <v>040162010</v>
      </c>
      <c r="F2822" s="10">
        <v>40232</v>
      </c>
      <c r="G2822" s="11">
        <v>4659.7299999999996</v>
      </c>
      <c r="H2822" s="11">
        <v>4659.7299999999996</v>
      </c>
      <c r="I2822" s="4" t="s">
        <v>366</v>
      </c>
      <c r="J2822" s="4" t="s">
        <v>367</v>
      </c>
      <c r="K2822" s="11">
        <v>0</v>
      </c>
      <c r="L2822" s="4"/>
      <c r="M2822" s="4"/>
      <c r="N2822" s="11">
        <v>0</v>
      </c>
      <c r="O2822" s="4"/>
      <c r="P2822" s="4"/>
      <c r="Q2822" s="11">
        <v>0</v>
      </c>
      <c r="R2822" s="4"/>
      <c r="S2822" s="12"/>
    </row>
    <row r="2823" spans="1:19" x14ac:dyDescent="0.25">
      <c r="A2823" s="9" t="s">
        <v>895</v>
      </c>
      <c r="B2823" s="9" t="s">
        <v>895</v>
      </c>
      <c r="C2823" s="4">
        <v>201002033</v>
      </c>
      <c r="D2823" s="4" t="s">
        <v>2438</v>
      </c>
      <c r="E2823" s="4" t="str">
        <f>"040022010"</f>
        <v>040022010</v>
      </c>
      <c r="F2823" s="10">
        <v>40232</v>
      </c>
      <c r="G2823" s="11">
        <v>8627</v>
      </c>
      <c r="H2823" s="11">
        <v>8627</v>
      </c>
      <c r="I2823" s="4" t="s">
        <v>366</v>
      </c>
      <c r="J2823" s="4" t="s">
        <v>367</v>
      </c>
      <c r="K2823" s="11">
        <v>0</v>
      </c>
      <c r="L2823" s="4"/>
      <c r="M2823" s="4"/>
      <c r="N2823" s="11">
        <v>0</v>
      </c>
      <c r="O2823" s="4"/>
      <c r="P2823" s="4"/>
      <c r="Q2823" s="11">
        <v>0</v>
      </c>
      <c r="R2823" s="4"/>
      <c r="S2823" s="12"/>
    </row>
    <row r="2824" spans="1:19" x14ac:dyDescent="0.25">
      <c r="A2824" s="9" t="s">
        <v>895</v>
      </c>
      <c r="B2824" s="9" t="s">
        <v>195</v>
      </c>
      <c r="C2824" s="4">
        <v>201002327</v>
      </c>
      <c r="D2824" s="4"/>
      <c r="E2824" s="4" t="str">
        <f>"046782010"</f>
        <v>046782010</v>
      </c>
      <c r="F2824" s="10">
        <v>40252</v>
      </c>
      <c r="G2824" s="11">
        <v>20482</v>
      </c>
      <c r="H2824" s="11">
        <v>20482</v>
      </c>
      <c r="I2824" s="4" t="s">
        <v>366</v>
      </c>
      <c r="J2824" s="4" t="s">
        <v>367</v>
      </c>
      <c r="K2824" s="11">
        <v>0</v>
      </c>
      <c r="L2824" s="4"/>
      <c r="M2824" s="4"/>
      <c r="N2824" s="11">
        <v>0</v>
      </c>
      <c r="O2824" s="4"/>
      <c r="P2824" s="4"/>
      <c r="Q2824" s="11">
        <v>0</v>
      </c>
      <c r="R2824" s="4"/>
      <c r="S2824" s="12"/>
    </row>
    <row r="2825" spans="1:19" x14ac:dyDescent="0.25">
      <c r="A2825" s="9" t="s">
        <v>895</v>
      </c>
      <c r="B2825" s="9" t="s">
        <v>895</v>
      </c>
      <c r="C2825" s="4">
        <v>201002536</v>
      </c>
      <c r="D2825" s="4"/>
      <c r="E2825" s="4" t="str">
        <f>"050082010"</f>
        <v>050082010</v>
      </c>
      <c r="F2825" s="10">
        <v>40262</v>
      </c>
      <c r="G2825" s="11">
        <v>5469.85</v>
      </c>
      <c r="H2825" s="11">
        <v>5469.85</v>
      </c>
      <c r="I2825" s="4" t="s">
        <v>366</v>
      </c>
      <c r="J2825" s="4" t="s">
        <v>367</v>
      </c>
      <c r="K2825" s="11">
        <v>0</v>
      </c>
      <c r="L2825" s="4"/>
      <c r="M2825" s="4"/>
      <c r="N2825" s="11">
        <v>0</v>
      </c>
      <c r="O2825" s="4"/>
      <c r="P2825" s="4"/>
      <c r="Q2825" s="11">
        <v>0</v>
      </c>
      <c r="R2825" s="4"/>
      <c r="S2825" s="12"/>
    </row>
    <row r="2826" spans="1:19" x14ac:dyDescent="0.25">
      <c r="A2826" s="9" t="s">
        <v>895</v>
      </c>
      <c r="B2826" s="9" t="s">
        <v>895</v>
      </c>
      <c r="C2826" s="4">
        <v>201002613</v>
      </c>
      <c r="D2826" s="4"/>
      <c r="E2826" s="4" t="str">
        <f>"052382010"</f>
        <v>052382010</v>
      </c>
      <c r="F2826" s="10">
        <v>40270</v>
      </c>
      <c r="G2826" s="11">
        <v>5080.03</v>
      </c>
      <c r="H2826" s="11">
        <v>5080.03</v>
      </c>
      <c r="I2826" s="4" t="s">
        <v>366</v>
      </c>
      <c r="J2826" s="4" t="s">
        <v>367</v>
      </c>
      <c r="K2826" s="11">
        <v>0</v>
      </c>
      <c r="L2826" s="4"/>
      <c r="M2826" s="4"/>
      <c r="N2826" s="11">
        <v>0</v>
      </c>
      <c r="O2826" s="4"/>
      <c r="P2826" s="4"/>
      <c r="Q2826" s="11">
        <v>0</v>
      </c>
      <c r="R2826" s="4"/>
      <c r="S2826" s="12"/>
    </row>
    <row r="2827" spans="1:19" x14ac:dyDescent="0.25">
      <c r="A2827" s="9" t="s">
        <v>895</v>
      </c>
      <c r="B2827" s="9" t="s">
        <v>195</v>
      </c>
      <c r="C2827" s="4">
        <v>201002850</v>
      </c>
      <c r="D2827" s="4"/>
      <c r="E2827" s="4" t="str">
        <f>"056052010"</f>
        <v>056052010</v>
      </c>
      <c r="F2827" s="10">
        <v>40275</v>
      </c>
      <c r="G2827" s="11">
        <v>2769.09</v>
      </c>
      <c r="H2827" s="11">
        <v>2769.09</v>
      </c>
      <c r="I2827" s="4" t="s">
        <v>366</v>
      </c>
      <c r="J2827" s="4" t="s">
        <v>367</v>
      </c>
      <c r="K2827" s="11">
        <v>0</v>
      </c>
      <c r="L2827" s="4"/>
      <c r="M2827" s="4"/>
      <c r="N2827" s="11">
        <v>0</v>
      </c>
      <c r="O2827" s="4"/>
      <c r="P2827" s="4"/>
      <c r="Q2827" s="11">
        <v>0</v>
      </c>
      <c r="R2827" s="4"/>
      <c r="S2827" s="12"/>
    </row>
    <row r="2828" spans="1:19" x14ac:dyDescent="0.25">
      <c r="A2828" s="9" t="s">
        <v>895</v>
      </c>
      <c r="B2828" s="9" t="s">
        <v>895</v>
      </c>
      <c r="C2828" s="4">
        <v>201003051</v>
      </c>
      <c r="D2828" s="4"/>
      <c r="E2828" s="4" t="str">
        <f>"062582010"</f>
        <v>062582010</v>
      </c>
      <c r="F2828" s="10">
        <v>40296</v>
      </c>
      <c r="G2828" s="11">
        <v>33443.75</v>
      </c>
      <c r="H2828" s="11">
        <v>33443.75</v>
      </c>
      <c r="I2828" s="4" t="s">
        <v>366</v>
      </c>
      <c r="J2828" s="4" t="s">
        <v>367</v>
      </c>
      <c r="K2828" s="11">
        <v>0</v>
      </c>
      <c r="L2828" s="4"/>
      <c r="M2828" s="4"/>
      <c r="N2828" s="11">
        <v>0</v>
      </c>
      <c r="O2828" s="4"/>
      <c r="P2828" s="4"/>
      <c r="Q2828" s="11">
        <v>0</v>
      </c>
      <c r="R2828" s="4"/>
      <c r="S2828" s="12"/>
    </row>
    <row r="2829" spans="1:19" x14ac:dyDescent="0.25">
      <c r="A2829" s="9" t="s">
        <v>895</v>
      </c>
      <c r="B2829" s="9" t="s">
        <v>895</v>
      </c>
      <c r="C2829" s="4">
        <v>201003090</v>
      </c>
      <c r="D2829" s="4"/>
      <c r="E2829" s="4" t="str">
        <f>"066462010"</f>
        <v>066462010</v>
      </c>
      <c r="F2829" s="10">
        <v>40308</v>
      </c>
      <c r="G2829" s="11">
        <v>2600.9</v>
      </c>
      <c r="H2829" s="11">
        <v>2600.9</v>
      </c>
      <c r="I2829" s="4" t="s">
        <v>366</v>
      </c>
      <c r="J2829" s="4" t="s">
        <v>367</v>
      </c>
      <c r="K2829" s="11">
        <v>0</v>
      </c>
      <c r="L2829" s="4"/>
      <c r="M2829" s="4"/>
      <c r="N2829" s="11">
        <v>0</v>
      </c>
      <c r="O2829" s="4"/>
      <c r="P2829" s="4"/>
      <c r="Q2829" s="11">
        <v>0</v>
      </c>
      <c r="R2829" s="4"/>
      <c r="S2829" s="12"/>
    </row>
    <row r="2830" spans="1:19" x14ac:dyDescent="0.25">
      <c r="A2830" s="9" t="s">
        <v>895</v>
      </c>
      <c r="B2830" s="9" t="s">
        <v>895</v>
      </c>
      <c r="C2830" s="4">
        <v>201003562</v>
      </c>
      <c r="D2830" s="4"/>
      <c r="E2830" s="4" t="str">
        <f>"070872010"</f>
        <v>070872010</v>
      </c>
      <c r="F2830" s="10">
        <v>40319</v>
      </c>
      <c r="G2830" s="11">
        <v>3290.48</v>
      </c>
      <c r="H2830" s="11">
        <v>3290.48</v>
      </c>
      <c r="I2830" s="4" t="s">
        <v>366</v>
      </c>
      <c r="J2830" s="4" t="s">
        <v>367</v>
      </c>
      <c r="K2830" s="11">
        <v>0</v>
      </c>
      <c r="L2830" s="4"/>
      <c r="M2830" s="4"/>
      <c r="N2830" s="11">
        <v>0</v>
      </c>
      <c r="O2830" s="4"/>
      <c r="P2830" s="4"/>
      <c r="Q2830" s="11">
        <v>0</v>
      </c>
      <c r="R2830" s="4"/>
      <c r="S2830" s="12"/>
    </row>
    <row r="2831" spans="1:19" x14ac:dyDescent="0.25">
      <c r="A2831" s="9" t="s">
        <v>895</v>
      </c>
      <c r="B2831" s="9" t="s">
        <v>895</v>
      </c>
      <c r="C2831" s="4">
        <v>201003625</v>
      </c>
      <c r="D2831" s="4"/>
      <c r="E2831" s="4" t="str">
        <f>"071712010"</f>
        <v>071712010</v>
      </c>
      <c r="F2831" s="10">
        <v>40324</v>
      </c>
      <c r="G2831" s="11">
        <v>6792.55</v>
      </c>
      <c r="H2831" s="11">
        <v>6792.55</v>
      </c>
      <c r="I2831" s="4" t="s">
        <v>366</v>
      </c>
      <c r="J2831" s="4" t="s">
        <v>367</v>
      </c>
      <c r="K2831" s="11">
        <v>0</v>
      </c>
      <c r="L2831" s="4"/>
      <c r="M2831" s="4"/>
      <c r="N2831" s="11">
        <v>0</v>
      </c>
      <c r="O2831" s="4"/>
      <c r="P2831" s="4"/>
      <c r="Q2831" s="11">
        <v>0</v>
      </c>
      <c r="R2831" s="4"/>
      <c r="S2831" s="12"/>
    </row>
    <row r="2832" spans="1:19" x14ac:dyDescent="0.25">
      <c r="A2832" s="9" t="s">
        <v>895</v>
      </c>
      <c r="B2832" s="9" t="s">
        <v>195</v>
      </c>
      <c r="C2832" s="4">
        <v>201003878</v>
      </c>
      <c r="D2832" s="4" t="s">
        <v>2439</v>
      </c>
      <c r="E2832" s="4" t="str">
        <f>"081182010"</f>
        <v>081182010</v>
      </c>
      <c r="F2832" s="10">
        <v>40346</v>
      </c>
      <c r="G2832" s="11">
        <v>11000</v>
      </c>
      <c r="H2832" s="11">
        <v>11000</v>
      </c>
      <c r="I2832" s="4" t="s">
        <v>366</v>
      </c>
      <c r="J2832" s="4" t="s">
        <v>367</v>
      </c>
      <c r="K2832" s="11">
        <v>0</v>
      </c>
      <c r="L2832" s="4"/>
      <c r="M2832" s="4"/>
      <c r="N2832" s="11">
        <v>0</v>
      </c>
      <c r="O2832" s="4"/>
      <c r="P2832" s="4"/>
      <c r="Q2832" s="11">
        <v>0</v>
      </c>
      <c r="R2832" s="4"/>
      <c r="S2832" s="12"/>
    </row>
    <row r="2833" spans="1:19" x14ac:dyDescent="0.25">
      <c r="A2833" s="9" t="s">
        <v>895</v>
      </c>
      <c r="B2833" s="9" t="s">
        <v>895</v>
      </c>
      <c r="C2833" s="4">
        <v>201004980</v>
      </c>
      <c r="D2833" s="4"/>
      <c r="E2833" s="4" t="str">
        <f>"099892010"</f>
        <v>099892010</v>
      </c>
      <c r="F2833" s="10">
        <v>40401</v>
      </c>
      <c r="G2833" s="11">
        <v>4640.5</v>
      </c>
      <c r="H2833" s="11">
        <v>4640.5</v>
      </c>
      <c r="I2833" s="4" t="s">
        <v>366</v>
      </c>
      <c r="J2833" s="4" t="s">
        <v>367</v>
      </c>
      <c r="K2833" s="11">
        <v>0</v>
      </c>
      <c r="L2833" s="4"/>
      <c r="M2833" s="4"/>
      <c r="N2833" s="11">
        <v>0</v>
      </c>
      <c r="O2833" s="4"/>
      <c r="P2833" s="4"/>
      <c r="Q2833" s="11">
        <v>0</v>
      </c>
      <c r="R2833" s="4"/>
      <c r="S2833" s="12"/>
    </row>
    <row r="2834" spans="1:19" x14ac:dyDescent="0.25">
      <c r="A2834" s="9" t="s">
        <v>895</v>
      </c>
      <c r="B2834" s="9" t="s">
        <v>195</v>
      </c>
      <c r="C2834" s="4">
        <v>201005050</v>
      </c>
      <c r="D2834" s="4"/>
      <c r="E2834" s="4" t="str">
        <f>"100992010"</f>
        <v>100992010</v>
      </c>
      <c r="F2834" s="10">
        <v>40407</v>
      </c>
      <c r="G2834" s="11">
        <v>5095.8</v>
      </c>
      <c r="H2834" s="11">
        <v>5095.8</v>
      </c>
      <c r="I2834" s="4" t="s">
        <v>54</v>
      </c>
      <c r="J2834" s="4" t="s">
        <v>55</v>
      </c>
      <c r="K2834" s="11">
        <v>0</v>
      </c>
      <c r="L2834" s="4"/>
      <c r="M2834" s="4"/>
      <c r="N2834" s="11">
        <v>0</v>
      </c>
      <c r="O2834" s="4"/>
      <c r="P2834" s="4"/>
      <c r="Q2834" s="11">
        <v>0</v>
      </c>
      <c r="R2834" s="4"/>
      <c r="S2834" s="12"/>
    </row>
    <row r="2835" spans="1:19" x14ac:dyDescent="0.25">
      <c r="A2835" s="9" t="s">
        <v>895</v>
      </c>
      <c r="B2835" s="9" t="s">
        <v>895</v>
      </c>
      <c r="C2835" s="4">
        <v>201005558</v>
      </c>
      <c r="D2835" s="4"/>
      <c r="E2835" s="4" t="str">
        <f>"110612010"</f>
        <v>110612010</v>
      </c>
      <c r="F2835" s="10">
        <v>40436</v>
      </c>
      <c r="G2835" s="11">
        <v>3659.99</v>
      </c>
      <c r="H2835" s="11">
        <v>3659.99</v>
      </c>
      <c r="I2835" s="4" t="s">
        <v>366</v>
      </c>
      <c r="J2835" s="4" t="s">
        <v>367</v>
      </c>
      <c r="K2835" s="11">
        <v>0</v>
      </c>
      <c r="L2835" s="4"/>
      <c r="M2835" s="4"/>
      <c r="N2835" s="11">
        <v>0</v>
      </c>
      <c r="O2835" s="4"/>
      <c r="P2835" s="4"/>
      <c r="Q2835" s="11">
        <v>0</v>
      </c>
      <c r="R2835" s="4"/>
      <c r="S2835" s="12"/>
    </row>
    <row r="2836" spans="1:19" x14ac:dyDescent="0.25">
      <c r="A2836" s="9" t="s">
        <v>897</v>
      </c>
      <c r="B2836" s="9" t="s">
        <v>897</v>
      </c>
      <c r="C2836" s="4">
        <v>201000203</v>
      </c>
      <c r="D2836" s="4"/>
      <c r="E2836" s="4" t="str">
        <f>"004122010"</f>
        <v>004122010</v>
      </c>
      <c r="F2836" s="10">
        <v>40105</v>
      </c>
      <c r="G2836" s="11">
        <v>2659.66</v>
      </c>
      <c r="H2836" s="11">
        <v>2659.66</v>
      </c>
      <c r="I2836" s="4" t="s">
        <v>366</v>
      </c>
      <c r="J2836" s="4" t="s">
        <v>367</v>
      </c>
      <c r="K2836" s="11">
        <v>0</v>
      </c>
      <c r="L2836" s="4"/>
      <c r="M2836" s="4"/>
      <c r="N2836" s="11">
        <v>0</v>
      </c>
      <c r="O2836" s="4"/>
      <c r="P2836" s="4"/>
      <c r="Q2836" s="11">
        <v>0</v>
      </c>
      <c r="R2836" s="4"/>
      <c r="S2836" s="12"/>
    </row>
    <row r="2837" spans="1:19" x14ac:dyDescent="0.25">
      <c r="A2837" s="9" t="s">
        <v>897</v>
      </c>
      <c r="B2837" s="9" t="s">
        <v>897</v>
      </c>
      <c r="C2837" s="4">
        <v>201000813</v>
      </c>
      <c r="D2837" s="4" t="s">
        <v>2440</v>
      </c>
      <c r="E2837" s="4" t="str">
        <f>"028062010"</f>
        <v>028062010</v>
      </c>
      <c r="F2837" s="10">
        <v>40186</v>
      </c>
      <c r="G2837" s="11">
        <v>4373.72</v>
      </c>
      <c r="H2837" s="11">
        <v>4373.72</v>
      </c>
      <c r="I2837" s="4" t="s">
        <v>366</v>
      </c>
      <c r="J2837" s="4" t="s">
        <v>367</v>
      </c>
      <c r="K2837" s="11">
        <v>0</v>
      </c>
      <c r="L2837" s="4"/>
      <c r="M2837" s="4"/>
      <c r="N2837" s="11">
        <v>0</v>
      </c>
      <c r="O2837" s="4"/>
      <c r="P2837" s="4"/>
      <c r="Q2837" s="11">
        <v>0</v>
      </c>
      <c r="R2837" s="4"/>
      <c r="S2837" s="12"/>
    </row>
    <row r="2838" spans="1:19" x14ac:dyDescent="0.25">
      <c r="A2838" s="9" t="s">
        <v>897</v>
      </c>
      <c r="B2838" s="9" t="s">
        <v>897</v>
      </c>
      <c r="C2838" s="4">
        <v>201000911</v>
      </c>
      <c r="D2838" s="4"/>
      <c r="E2838" s="4" t="str">
        <f>"031282010"</f>
        <v>031282010</v>
      </c>
      <c r="F2838" s="10">
        <v>40197</v>
      </c>
      <c r="G2838" s="11">
        <v>22599.58</v>
      </c>
      <c r="H2838" s="11">
        <v>22599.58</v>
      </c>
      <c r="I2838" s="4" t="s">
        <v>366</v>
      </c>
      <c r="J2838" s="4" t="s">
        <v>367</v>
      </c>
      <c r="K2838" s="11">
        <v>0</v>
      </c>
      <c r="L2838" s="4"/>
      <c r="M2838" s="4"/>
      <c r="N2838" s="11">
        <v>0</v>
      </c>
      <c r="O2838" s="4"/>
      <c r="P2838" s="4"/>
      <c r="Q2838" s="11">
        <v>0</v>
      </c>
      <c r="R2838" s="4"/>
      <c r="S2838" s="12"/>
    </row>
    <row r="2839" spans="1:19" x14ac:dyDescent="0.25">
      <c r="A2839" s="9" t="s">
        <v>897</v>
      </c>
      <c r="B2839" s="9" t="s">
        <v>897</v>
      </c>
      <c r="C2839" s="4">
        <v>201000912</v>
      </c>
      <c r="D2839" s="4"/>
      <c r="E2839" s="4" t="str">
        <f>"026812010"</f>
        <v>026812010</v>
      </c>
      <c r="F2839" s="10">
        <v>40185</v>
      </c>
      <c r="G2839" s="11">
        <v>5505.79</v>
      </c>
      <c r="H2839" s="11">
        <v>5505.79</v>
      </c>
      <c r="I2839" s="4" t="s">
        <v>366</v>
      </c>
      <c r="J2839" s="4" t="s">
        <v>367</v>
      </c>
      <c r="K2839" s="11">
        <v>0</v>
      </c>
      <c r="L2839" s="4"/>
      <c r="M2839" s="4"/>
      <c r="N2839" s="11">
        <v>0</v>
      </c>
      <c r="O2839" s="4"/>
      <c r="P2839" s="4"/>
      <c r="Q2839" s="11">
        <v>0</v>
      </c>
      <c r="R2839" s="4"/>
      <c r="S2839" s="12"/>
    </row>
    <row r="2840" spans="1:19" x14ac:dyDescent="0.25">
      <c r="A2840" s="9" t="s">
        <v>897</v>
      </c>
      <c r="B2840" s="9" t="s">
        <v>897</v>
      </c>
      <c r="C2840" s="4">
        <v>201000913</v>
      </c>
      <c r="D2840" s="4" t="s">
        <v>2441</v>
      </c>
      <c r="E2840" s="4" t="str">
        <f>"020362010"</f>
        <v>020362010</v>
      </c>
      <c r="F2840" s="10">
        <v>40157</v>
      </c>
      <c r="G2840" s="11">
        <v>10000</v>
      </c>
      <c r="H2840" s="11">
        <v>10000</v>
      </c>
      <c r="I2840" s="4" t="s">
        <v>68</v>
      </c>
      <c r="J2840" s="4" t="s">
        <v>69</v>
      </c>
      <c r="K2840" s="11">
        <v>0</v>
      </c>
      <c r="L2840" s="4"/>
      <c r="M2840" s="4"/>
      <c r="N2840" s="11">
        <v>0</v>
      </c>
      <c r="O2840" s="4"/>
      <c r="P2840" s="4"/>
      <c r="Q2840" s="11">
        <v>0</v>
      </c>
      <c r="R2840" s="4"/>
      <c r="S2840" s="12"/>
    </row>
    <row r="2841" spans="1:19" x14ac:dyDescent="0.25">
      <c r="A2841" s="9" t="s">
        <v>897</v>
      </c>
      <c r="B2841" s="9" t="s">
        <v>897</v>
      </c>
      <c r="C2841" s="4">
        <v>201000914</v>
      </c>
      <c r="D2841" s="4"/>
      <c r="E2841" s="4" t="str">
        <f>"020342010"</f>
        <v>020342010</v>
      </c>
      <c r="F2841" s="10">
        <v>40157</v>
      </c>
      <c r="G2841" s="11">
        <v>6342.49</v>
      </c>
      <c r="H2841" s="11">
        <v>6342.49</v>
      </c>
      <c r="I2841" s="4" t="s">
        <v>366</v>
      </c>
      <c r="J2841" s="4" t="s">
        <v>367</v>
      </c>
      <c r="K2841" s="11">
        <v>0</v>
      </c>
      <c r="L2841" s="4"/>
      <c r="M2841" s="4"/>
      <c r="N2841" s="11">
        <v>0</v>
      </c>
      <c r="O2841" s="4"/>
      <c r="P2841" s="4"/>
      <c r="Q2841" s="11">
        <v>0</v>
      </c>
      <c r="R2841" s="4"/>
      <c r="S2841" s="12"/>
    </row>
    <row r="2842" spans="1:19" x14ac:dyDescent="0.25">
      <c r="A2842" s="9" t="s">
        <v>897</v>
      </c>
      <c r="B2842" s="9" t="s">
        <v>897</v>
      </c>
      <c r="C2842" s="4">
        <v>201001005</v>
      </c>
      <c r="D2842" s="4"/>
      <c r="E2842" s="4" t="str">
        <f>"036482010"</f>
        <v>036482010</v>
      </c>
      <c r="F2842" s="10">
        <v>40213</v>
      </c>
      <c r="G2842" s="11">
        <v>2954.81</v>
      </c>
      <c r="H2842" s="11">
        <v>2954.81</v>
      </c>
      <c r="I2842" s="4" t="s">
        <v>366</v>
      </c>
      <c r="J2842" s="4" t="s">
        <v>367</v>
      </c>
      <c r="K2842" s="11">
        <v>0</v>
      </c>
      <c r="L2842" s="4"/>
      <c r="M2842" s="4"/>
      <c r="N2842" s="11">
        <v>0</v>
      </c>
      <c r="O2842" s="4"/>
      <c r="P2842" s="4"/>
      <c r="Q2842" s="11">
        <v>0</v>
      </c>
      <c r="R2842" s="4"/>
      <c r="S2842" s="12"/>
    </row>
    <row r="2843" spans="1:19" x14ac:dyDescent="0.25">
      <c r="A2843" s="9" t="s">
        <v>897</v>
      </c>
      <c r="B2843" s="9" t="s">
        <v>897</v>
      </c>
      <c r="C2843" s="4">
        <v>201001038</v>
      </c>
      <c r="D2843" s="4"/>
      <c r="E2843" s="4" t="str">
        <f>"036082010"</f>
        <v>036082010</v>
      </c>
      <c r="F2843" s="10">
        <v>40213</v>
      </c>
      <c r="G2843" s="11">
        <v>3304.32</v>
      </c>
      <c r="H2843" s="11">
        <v>3304.32</v>
      </c>
      <c r="I2843" s="4" t="s">
        <v>54</v>
      </c>
      <c r="J2843" s="4" t="s">
        <v>55</v>
      </c>
      <c r="K2843" s="11">
        <v>0</v>
      </c>
      <c r="L2843" s="4"/>
      <c r="M2843" s="4"/>
      <c r="N2843" s="11">
        <v>0</v>
      </c>
      <c r="O2843" s="4"/>
      <c r="P2843" s="4"/>
      <c r="Q2843" s="11">
        <v>0</v>
      </c>
      <c r="R2843" s="4"/>
      <c r="S2843" s="12"/>
    </row>
    <row r="2844" spans="1:19" x14ac:dyDescent="0.25">
      <c r="A2844" s="9" t="s">
        <v>897</v>
      </c>
      <c r="B2844" s="9" t="s">
        <v>897</v>
      </c>
      <c r="C2844" s="4">
        <v>201001155</v>
      </c>
      <c r="D2844" s="4"/>
      <c r="E2844" s="4" t="str">
        <f>"022932010"</f>
        <v>022932010</v>
      </c>
      <c r="F2844" s="10">
        <v>40165</v>
      </c>
      <c r="G2844" s="11">
        <v>2553.42</v>
      </c>
      <c r="H2844" s="11">
        <v>2553.42</v>
      </c>
      <c r="I2844" s="4" t="s">
        <v>366</v>
      </c>
      <c r="J2844" s="4" t="s">
        <v>367</v>
      </c>
      <c r="K2844" s="11">
        <v>0</v>
      </c>
      <c r="L2844" s="4"/>
      <c r="M2844" s="4"/>
      <c r="N2844" s="11">
        <v>0</v>
      </c>
      <c r="O2844" s="4"/>
      <c r="P2844" s="4"/>
      <c r="Q2844" s="11">
        <v>0</v>
      </c>
      <c r="R2844" s="4"/>
      <c r="S2844" s="12"/>
    </row>
    <row r="2845" spans="1:19" x14ac:dyDescent="0.25">
      <c r="A2845" s="9" t="s">
        <v>897</v>
      </c>
      <c r="B2845" s="9" t="s">
        <v>897</v>
      </c>
      <c r="C2845" s="4">
        <v>201001157</v>
      </c>
      <c r="D2845" s="4"/>
      <c r="E2845" s="4" t="str">
        <f>"023452010"</f>
        <v>023452010</v>
      </c>
      <c r="F2845" s="10">
        <v>40165</v>
      </c>
      <c r="G2845" s="11">
        <v>4341.53</v>
      </c>
      <c r="H2845" s="11">
        <v>4341.53</v>
      </c>
      <c r="I2845" s="4" t="s">
        <v>54</v>
      </c>
      <c r="J2845" s="4" t="s">
        <v>55</v>
      </c>
      <c r="K2845" s="11">
        <v>0</v>
      </c>
      <c r="L2845" s="4"/>
      <c r="M2845" s="4"/>
      <c r="N2845" s="11">
        <v>0</v>
      </c>
      <c r="O2845" s="4"/>
      <c r="P2845" s="4"/>
      <c r="Q2845" s="11">
        <v>0</v>
      </c>
      <c r="R2845" s="4"/>
      <c r="S2845" s="12"/>
    </row>
    <row r="2846" spans="1:19" x14ac:dyDescent="0.25">
      <c r="A2846" s="9" t="s">
        <v>897</v>
      </c>
      <c r="B2846" s="9" t="s">
        <v>897</v>
      </c>
      <c r="C2846" s="4">
        <v>201001247</v>
      </c>
      <c r="D2846" s="4"/>
      <c r="E2846" s="4" t="str">
        <f>"025932010"</f>
        <v>025932010</v>
      </c>
      <c r="F2846" s="10">
        <v>40186</v>
      </c>
      <c r="G2846" s="11">
        <v>6648</v>
      </c>
      <c r="H2846" s="11">
        <v>6648</v>
      </c>
      <c r="I2846" s="4" t="s">
        <v>366</v>
      </c>
      <c r="J2846" s="4" t="s">
        <v>367</v>
      </c>
      <c r="K2846" s="11">
        <v>0</v>
      </c>
      <c r="L2846" s="4"/>
      <c r="M2846" s="4"/>
      <c r="N2846" s="11">
        <v>0</v>
      </c>
      <c r="O2846" s="4"/>
      <c r="P2846" s="4"/>
      <c r="Q2846" s="11">
        <v>0</v>
      </c>
      <c r="R2846" s="4"/>
      <c r="S2846" s="12"/>
    </row>
    <row r="2847" spans="1:19" x14ac:dyDescent="0.25">
      <c r="A2847" s="9" t="s">
        <v>897</v>
      </c>
      <c r="B2847" s="9" t="s">
        <v>897</v>
      </c>
      <c r="C2847" s="4">
        <v>201001309</v>
      </c>
      <c r="D2847" s="4"/>
      <c r="E2847" s="4" t="str">
        <f>"026012010"</f>
        <v>026012010</v>
      </c>
      <c r="F2847" s="10">
        <v>40186</v>
      </c>
      <c r="G2847" s="11">
        <v>2952.35</v>
      </c>
      <c r="H2847" s="11">
        <v>2952.35</v>
      </c>
      <c r="I2847" s="4" t="s">
        <v>366</v>
      </c>
      <c r="J2847" s="4" t="s">
        <v>367</v>
      </c>
      <c r="K2847" s="11">
        <v>0</v>
      </c>
      <c r="L2847" s="4"/>
      <c r="M2847" s="4"/>
      <c r="N2847" s="11">
        <v>0</v>
      </c>
      <c r="O2847" s="4"/>
      <c r="P2847" s="4"/>
      <c r="Q2847" s="11">
        <v>0</v>
      </c>
      <c r="R2847" s="4"/>
      <c r="S2847" s="12"/>
    </row>
    <row r="2848" spans="1:19" x14ac:dyDescent="0.25">
      <c r="A2848" s="9" t="s">
        <v>897</v>
      </c>
      <c r="B2848" s="9" t="s">
        <v>897</v>
      </c>
      <c r="C2848" s="4">
        <v>201001438</v>
      </c>
      <c r="D2848" s="4" t="s">
        <v>2442</v>
      </c>
      <c r="E2848" s="4" t="str">
        <f>"033602010"</f>
        <v>033602010</v>
      </c>
      <c r="F2848" s="10">
        <v>40204</v>
      </c>
      <c r="G2848" s="11">
        <v>2993.16</v>
      </c>
      <c r="H2848" s="11">
        <v>2993.16</v>
      </c>
      <c r="I2848" s="4" t="s">
        <v>366</v>
      </c>
      <c r="J2848" s="4" t="s">
        <v>367</v>
      </c>
      <c r="K2848" s="11">
        <v>0</v>
      </c>
      <c r="L2848" s="4"/>
      <c r="M2848" s="4"/>
      <c r="N2848" s="11">
        <v>0</v>
      </c>
      <c r="O2848" s="4"/>
      <c r="P2848" s="4"/>
      <c r="Q2848" s="11">
        <v>0</v>
      </c>
      <c r="R2848" s="4"/>
      <c r="S2848" s="12"/>
    </row>
    <row r="2849" spans="1:19" x14ac:dyDescent="0.25">
      <c r="A2849" s="9" t="s">
        <v>897</v>
      </c>
      <c r="B2849" s="9" t="s">
        <v>897</v>
      </c>
      <c r="C2849" s="4">
        <v>201001562</v>
      </c>
      <c r="D2849" s="4"/>
      <c r="E2849" s="4" t="str">
        <f>"031462010"</f>
        <v>031462010</v>
      </c>
      <c r="F2849" s="10">
        <v>40200</v>
      </c>
      <c r="G2849" s="11">
        <v>3119.5</v>
      </c>
      <c r="H2849" s="11">
        <v>3119.5</v>
      </c>
      <c r="I2849" s="4" t="s">
        <v>366</v>
      </c>
      <c r="J2849" s="4" t="s">
        <v>367</v>
      </c>
      <c r="K2849" s="11">
        <v>0</v>
      </c>
      <c r="L2849" s="4"/>
      <c r="M2849" s="4"/>
      <c r="N2849" s="11">
        <v>0</v>
      </c>
      <c r="O2849" s="4"/>
      <c r="P2849" s="4"/>
      <c r="Q2849" s="11">
        <v>0</v>
      </c>
      <c r="R2849" s="4"/>
      <c r="S2849" s="12"/>
    </row>
    <row r="2850" spans="1:19" x14ac:dyDescent="0.25">
      <c r="A2850" s="9" t="s">
        <v>897</v>
      </c>
      <c r="B2850" s="9" t="s">
        <v>897</v>
      </c>
      <c r="C2850" s="4">
        <v>201001702</v>
      </c>
      <c r="D2850" s="4"/>
      <c r="E2850" s="4" t="str">
        <f>"034002010"</f>
        <v>034002010</v>
      </c>
      <c r="F2850" s="10">
        <v>40205</v>
      </c>
      <c r="G2850" s="11">
        <v>3265.4</v>
      </c>
      <c r="H2850" s="11">
        <v>3265.4</v>
      </c>
      <c r="I2850" s="4" t="s">
        <v>366</v>
      </c>
      <c r="J2850" s="4" t="s">
        <v>367</v>
      </c>
      <c r="K2850" s="11">
        <v>0</v>
      </c>
      <c r="L2850" s="4"/>
      <c r="M2850" s="4"/>
      <c r="N2850" s="11">
        <v>0</v>
      </c>
      <c r="O2850" s="4"/>
      <c r="P2850" s="4"/>
      <c r="Q2850" s="11">
        <v>0</v>
      </c>
      <c r="R2850" s="4"/>
      <c r="S2850" s="12"/>
    </row>
    <row r="2851" spans="1:19" x14ac:dyDescent="0.25">
      <c r="A2851" s="9" t="s">
        <v>897</v>
      </c>
      <c r="B2851" s="9" t="s">
        <v>897</v>
      </c>
      <c r="C2851" s="4">
        <v>201001704</v>
      </c>
      <c r="D2851" s="4"/>
      <c r="E2851" s="4" t="str">
        <f>"034462010"</f>
        <v>034462010</v>
      </c>
      <c r="F2851" s="10">
        <v>40213</v>
      </c>
      <c r="G2851" s="11">
        <v>3956.36</v>
      </c>
      <c r="H2851" s="11">
        <v>3956.36</v>
      </c>
      <c r="I2851" s="4" t="s">
        <v>366</v>
      </c>
      <c r="J2851" s="4" t="s">
        <v>367</v>
      </c>
      <c r="K2851" s="11">
        <v>0</v>
      </c>
      <c r="L2851" s="4"/>
      <c r="M2851" s="4"/>
      <c r="N2851" s="11">
        <v>0</v>
      </c>
      <c r="O2851" s="4"/>
      <c r="P2851" s="4"/>
      <c r="Q2851" s="11">
        <v>0</v>
      </c>
      <c r="R2851" s="4"/>
      <c r="S2851" s="12"/>
    </row>
    <row r="2852" spans="1:19" x14ac:dyDescent="0.25">
      <c r="A2852" s="9" t="s">
        <v>897</v>
      </c>
      <c r="B2852" s="9" t="s">
        <v>897</v>
      </c>
      <c r="C2852" s="4">
        <v>201001954</v>
      </c>
      <c r="D2852" s="4"/>
      <c r="E2852" s="4" t="str">
        <f>"038682010"</f>
        <v>038682010</v>
      </c>
      <c r="F2852" s="10">
        <v>40227</v>
      </c>
      <c r="G2852" s="11">
        <v>4748.09</v>
      </c>
      <c r="H2852" s="11">
        <v>4748.09</v>
      </c>
      <c r="I2852" s="4" t="s">
        <v>366</v>
      </c>
      <c r="J2852" s="4" t="s">
        <v>367</v>
      </c>
      <c r="K2852" s="11">
        <v>0</v>
      </c>
      <c r="L2852" s="4"/>
      <c r="M2852" s="4"/>
      <c r="N2852" s="11">
        <v>0</v>
      </c>
      <c r="O2852" s="4"/>
      <c r="P2852" s="4"/>
      <c r="Q2852" s="11">
        <v>0</v>
      </c>
      <c r="R2852" s="4"/>
      <c r="S2852" s="12"/>
    </row>
    <row r="2853" spans="1:19" x14ac:dyDescent="0.25">
      <c r="A2853" s="9" t="s">
        <v>897</v>
      </c>
      <c r="B2853" s="9" t="s">
        <v>897</v>
      </c>
      <c r="C2853" s="4">
        <v>201001961</v>
      </c>
      <c r="D2853" s="4"/>
      <c r="E2853" s="4" t="str">
        <f>"038662010"</f>
        <v>038662010</v>
      </c>
      <c r="F2853" s="10">
        <v>40227</v>
      </c>
      <c r="G2853" s="11">
        <v>3173.54</v>
      </c>
      <c r="H2853" s="11">
        <v>3173.54</v>
      </c>
      <c r="I2853" s="4" t="s">
        <v>366</v>
      </c>
      <c r="J2853" s="4" t="s">
        <v>367</v>
      </c>
      <c r="K2853" s="11">
        <v>0</v>
      </c>
      <c r="L2853" s="4"/>
      <c r="M2853" s="4"/>
      <c r="N2853" s="11">
        <v>0</v>
      </c>
      <c r="O2853" s="4"/>
      <c r="P2853" s="4"/>
      <c r="Q2853" s="11">
        <v>0</v>
      </c>
      <c r="R2853" s="4"/>
      <c r="S2853" s="12"/>
    </row>
    <row r="2854" spans="1:19" x14ac:dyDescent="0.25">
      <c r="A2854" s="9" t="s">
        <v>897</v>
      </c>
      <c r="B2854" s="9" t="s">
        <v>897</v>
      </c>
      <c r="C2854" s="4">
        <v>201002004</v>
      </c>
      <c r="D2854" s="4"/>
      <c r="E2854" s="4" t="str">
        <f>"043992010"</f>
        <v>043992010</v>
      </c>
      <c r="F2854" s="10">
        <v>40245</v>
      </c>
      <c r="G2854" s="11">
        <v>5000</v>
      </c>
      <c r="H2854" s="11">
        <v>5000</v>
      </c>
      <c r="I2854" s="4" t="s">
        <v>54</v>
      </c>
      <c r="J2854" s="4" t="s">
        <v>55</v>
      </c>
      <c r="K2854" s="11">
        <v>0</v>
      </c>
      <c r="L2854" s="4"/>
      <c r="M2854" s="4"/>
      <c r="N2854" s="11">
        <v>0</v>
      </c>
      <c r="O2854" s="4"/>
      <c r="P2854" s="4"/>
      <c r="Q2854" s="11">
        <v>0</v>
      </c>
      <c r="R2854" s="4"/>
      <c r="S2854" s="12"/>
    </row>
    <row r="2855" spans="1:19" x14ac:dyDescent="0.25">
      <c r="A2855" s="9" t="s">
        <v>897</v>
      </c>
      <c r="B2855" s="9" t="s">
        <v>897</v>
      </c>
      <c r="C2855" s="4">
        <v>201002069</v>
      </c>
      <c r="D2855" s="4" t="s">
        <v>2443</v>
      </c>
      <c r="E2855" s="4" t="str">
        <f>"047842010"</f>
        <v>047842010</v>
      </c>
      <c r="F2855" s="10">
        <v>40255</v>
      </c>
      <c r="G2855" s="11">
        <v>8049.73</v>
      </c>
      <c r="H2855" s="11">
        <v>8049.73</v>
      </c>
      <c r="I2855" s="4" t="s">
        <v>366</v>
      </c>
      <c r="J2855" s="4" t="s">
        <v>367</v>
      </c>
      <c r="K2855" s="11">
        <v>0</v>
      </c>
      <c r="L2855" s="4"/>
      <c r="M2855" s="4"/>
      <c r="N2855" s="11">
        <v>0</v>
      </c>
      <c r="O2855" s="4"/>
      <c r="P2855" s="4"/>
      <c r="Q2855" s="11">
        <v>0</v>
      </c>
      <c r="R2855" s="4"/>
      <c r="S2855" s="12"/>
    </row>
    <row r="2856" spans="1:19" x14ac:dyDescent="0.25">
      <c r="A2856" s="9" t="s">
        <v>897</v>
      </c>
      <c r="B2856" s="9" t="s">
        <v>897</v>
      </c>
      <c r="C2856" s="4">
        <v>201002391</v>
      </c>
      <c r="D2856" s="4"/>
      <c r="E2856" s="4" t="str">
        <f>"056512010"</f>
        <v>056512010</v>
      </c>
      <c r="F2856" s="10">
        <v>40276</v>
      </c>
      <c r="G2856" s="11">
        <v>6186.89</v>
      </c>
      <c r="H2856" s="11">
        <v>6186.89</v>
      </c>
      <c r="I2856" s="4" t="s">
        <v>366</v>
      </c>
      <c r="J2856" s="4" t="s">
        <v>367</v>
      </c>
      <c r="K2856" s="11">
        <v>0</v>
      </c>
      <c r="L2856" s="4"/>
      <c r="M2856" s="4"/>
      <c r="N2856" s="11">
        <v>0</v>
      </c>
      <c r="O2856" s="4"/>
      <c r="P2856" s="4"/>
      <c r="Q2856" s="11">
        <v>0</v>
      </c>
      <c r="R2856" s="4"/>
      <c r="S2856" s="12"/>
    </row>
    <row r="2857" spans="1:19" x14ac:dyDescent="0.25">
      <c r="A2857" s="9" t="s">
        <v>897</v>
      </c>
      <c r="B2857" s="9" t="s">
        <v>897</v>
      </c>
      <c r="C2857" s="4">
        <v>201002685</v>
      </c>
      <c r="D2857" s="4"/>
      <c r="E2857" s="4" t="str">
        <f>"056492010"</f>
        <v>056492010</v>
      </c>
      <c r="F2857" s="10">
        <v>40276</v>
      </c>
      <c r="G2857" s="11">
        <v>3190.41</v>
      </c>
      <c r="H2857" s="11">
        <v>3190.41</v>
      </c>
      <c r="I2857" s="4" t="s">
        <v>366</v>
      </c>
      <c r="J2857" s="4" t="s">
        <v>367</v>
      </c>
      <c r="K2857" s="11">
        <v>0</v>
      </c>
      <c r="L2857" s="4"/>
      <c r="M2857" s="4"/>
      <c r="N2857" s="11">
        <v>0</v>
      </c>
      <c r="O2857" s="4"/>
      <c r="P2857" s="4"/>
      <c r="Q2857" s="11">
        <v>0</v>
      </c>
      <c r="R2857" s="4"/>
      <c r="S2857" s="12"/>
    </row>
    <row r="2858" spans="1:19" x14ac:dyDescent="0.25">
      <c r="A2858" s="9" t="s">
        <v>897</v>
      </c>
      <c r="B2858" s="9" t="s">
        <v>897</v>
      </c>
      <c r="C2858" s="4">
        <v>201002727</v>
      </c>
      <c r="D2858" s="4" t="s">
        <v>2444</v>
      </c>
      <c r="E2858" s="4" t="str">
        <f>"058332010"</f>
        <v>058332010</v>
      </c>
      <c r="F2858" s="10">
        <v>40284</v>
      </c>
      <c r="G2858" s="11">
        <v>150000</v>
      </c>
      <c r="H2858" s="11">
        <v>150000</v>
      </c>
      <c r="I2858" s="4" t="s">
        <v>366</v>
      </c>
      <c r="J2858" s="4" t="s">
        <v>367</v>
      </c>
      <c r="K2858" s="11">
        <v>0</v>
      </c>
      <c r="L2858" s="4"/>
      <c r="M2858" s="4"/>
      <c r="N2858" s="11">
        <v>0</v>
      </c>
      <c r="O2858" s="4"/>
      <c r="P2858" s="4"/>
      <c r="Q2858" s="11">
        <v>0</v>
      </c>
      <c r="R2858" s="4"/>
      <c r="S2858" s="12"/>
    </row>
    <row r="2859" spans="1:19" x14ac:dyDescent="0.25">
      <c r="A2859" s="9" t="s">
        <v>897</v>
      </c>
      <c r="B2859" s="9" t="s">
        <v>897</v>
      </c>
      <c r="C2859" s="4">
        <v>201002800</v>
      </c>
      <c r="D2859" s="4"/>
      <c r="E2859" s="4" t="str">
        <f>"056692010"</f>
        <v>056692010</v>
      </c>
      <c r="F2859" s="10">
        <v>40276</v>
      </c>
      <c r="G2859" s="11">
        <v>10000</v>
      </c>
      <c r="H2859" s="11">
        <v>10000</v>
      </c>
      <c r="I2859" s="4" t="s">
        <v>366</v>
      </c>
      <c r="J2859" s="4" t="s">
        <v>367</v>
      </c>
      <c r="K2859" s="11">
        <v>0</v>
      </c>
      <c r="L2859" s="4"/>
      <c r="M2859" s="4"/>
      <c r="N2859" s="11">
        <v>0</v>
      </c>
      <c r="O2859" s="4"/>
      <c r="P2859" s="4"/>
      <c r="Q2859" s="11">
        <v>0</v>
      </c>
      <c r="R2859" s="4"/>
      <c r="S2859" s="12"/>
    </row>
    <row r="2860" spans="1:19" x14ac:dyDescent="0.25">
      <c r="A2860" s="9" t="s">
        <v>897</v>
      </c>
      <c r="B2860" s="9" t="s">
        <v>897</v>
      </c>
      <c r="C2860" s="4">
        <v>201002964</v>
      </c>
      <c r="D2860" s="4" t="s">
        <v>2445</v>
      </c>
      <c r="E2860" s="4" t="str">
        <f>"059092010"</f>
        <v>059092010</v>
      </c>
      <c r="F2860" s="10">
        <v>40284</v>
      </c>
      <c r="G2860" s="11">
        <v>36525.4</v>
      </c>
      <c r="H2860" s="11">
        <v>36525.4</v>
      </c>
      <c r="I2860" s="4" t="s">
        <v>366</v>
      </c>
      <c r="J2860" s="4" t="s">
        <v>367</v>
      </c>
      <c r="K2860" s="11">
        <v>0</v>
      </c>
      <c r="L2860" s="4"/>
      <c r="M2860" s="4"/>
      <c r="N2860" s="11">
        <v>0</v>
      </c>
      <c r="O2860" s="4"/>
      <c r="P2860" s="4"/>
      <c r="Q2860" s="11">
        <v>0</v>
      </c>
      <c r="R2860" s="4"/>
      <c r="S2860" s="12"/>
    </row>
    <row r="2861" spans="1:19" x14ac:dyDescent="0.25">
      <c r="A2861" s="9" t="s">
        <v>897</v>
      </c>
      <c r="B2861" s="9" t="s">
        <v>897</v>
      </c>
      <c r="C2861" s="4">
        <v>201002967</v>
      </c>
      <c r="D2861" s="4"/>
      <c r="E2861" s="4" t="str">
        <f>"058952010"</f>
        <v>058952010</v>
      </c>
      <c r="F2861" s="10">
        <v>40284</v>
      </c>
      <c r="G2861" s="11">
        <v>15886.85</v>
      </c>
      <c r="H2861" s="11">
        <v>15886.85</v>
      </c>
      <c r="I2861" s="4" t="s">
        <v>366</v>
      </c>
      <c r="J2861" s="4" t="s">
        <v>367</v>
      </c>
      <c r="K2861" s="11">
        <v>0</v>
      </c>
      <c r="L2861" s="4"/>
      <c r="M2861" s="4"/>
      <c r="N2861" s="11">
        <v>0</v>
      </c>
      <c r="O2861" s="4"/>
      <c r="P2861" s="4"/>
      <c r="Q2861" s="11">
        <v>0</v>
      </c>
      <c r="R2861" s="4"/>
      <c r="S2861" s="12"/>
    </row>
    <row r="2862" spans="1:19" x14ac:dyDescent="0.25">
      <c r="A2862" s="9" t="s">
        <v>897</v>
      </c>
      <c r="B2862" s="9" t="s">
        <v>897</v>
      </c>
      <c r="C2862" s="4">
        <v>201002968</v>
      </c>
      <c r="D2862" s="4"/>
      <c r="E2862" s="4" t="str">
        <f>"058892010"</f>
        <v>058892010</v>
      </c>
      <c r="F2862" s="10">
        <v>40284</v>
      </c>
      <c r="G2862" s="11">
        <v>3598.54</v>
      </c>
      <c r="H2862" s="11">
        <v>3598.54</v>
      </c>
      <c r="I2862" s="4" t="s">
        <v>366</v>
      </c>
      <c r="J2862" s="4" t="s">
        <v>367</v>
      </c>
      <c r="K2862" s="11">
        <v>0</v>
      </c>
      <c r="L2862" s="4"/>
      <c r="M2862" s="4"/>
      <c r="N2862" s="11">
        <v>0</v>
      </c>
      <c r="O2862" s="4"/>
      <c r="P2862" s="4"/>
      <c r="Q2862" s="11">
        <v>0</v>
      </c>
      <c r="R2862" s="4"/>
      <c r="S2862" s="12"/>
    </row>
    <row r="2863" spans="1:19" x14ac:dyDescent="0.25">
      <c r="A2863" s="9" t="s">
        <v>897</v>
      </c>
      <c r="B2863" s="9" t="s">
        <v>897</v>
      </c>
      <c r="C2863" s="4">
        <v>201002977</v>
      </c>
      <c r="D2863" s="4"/>
      <c r="E2863" s="4" t="str">
        <f>"058872010"</f>
        <v>058872010</v>
      </c>
      <c r="F2863" s="10">
        <v>40283</v>
      </c>
      <c r="G2863" s="11">
        <v>3733.83</v>
      </c>
      <c r="H2863" s="11">
        <v>3733.83</v>
      </c>
      <c r="I2863" s="4" t="s">
        <v>366</v>
      </c>
      <c r="J2863" s="4" t="s">
        <v>367</v>
      </c>
      <c r="K2863" s="11">
        <v>0</v>
      </c>
      <c r="L2863" s="4"/>
      <c r="M2863" s="4"/>
      <c r="N2863" s="11">
        <v>0</v>
      </c>
      <c r="O2863" s="4"/>
      <c r="P2863" s="4"/>
      <c r="Q2863" s="11">
        <v>0</v>
      </c>
      <c r="R2863" s="4"/>
      <c r="S2863" s="12"/>
    </row>
    <row r="2864" spans="1:19" x14ac:dyDescent="0.25">
      <c r="A2864" s="9" t="s">
        <v>897</v>
      </c>
      <c r="B2864" s="9" t="s">
        <v>897</v>
      </c>
      <c r="C2864" s="4">
        <v>201003220</v>
      </c>
      <c r="D2864" s="4"/>
      <c r="E2864" s="4" t="str">
        <f>"064282010"</f>
        <v>064282010</v>
      </c>
      <c r="F2864" s="10">
        <v>40302</v>
      </c>
      <c r="G2864" s="11">
        <v>3611.62</v>
      </c>
      <c r="H2864" s="11">
        <v>3611.62</v>
      </c>
      <c r="I2864" s="4" t="s">
        <v>54</v>
      </c>
      <c r="J2864" s="4" t="s">
        <v>55</v>
      </c>
      <c r="K2864" s="11">
        <v>0</v>
      </c>
      <c r="L2864" s="4"/>
      <c r="M2864" s="4"/>
      <c r="N2864" s="11">
        <v>0</v>
      </c>
      <c r="O2864" s="4"/>
      <c r="P2864" s="4"/>
      <c r="Q2864" s="11">
        <v>0</v>
      </c>
      <c r="R2864" s="4"/>
      <c r="S2864" s="12"/>
    </row>
    <row r="2865" spans="1:19" x14ac:dyDescent="0.25">
      <c r="A2865" s="9" t="s">
        <v>897</v>
      </c>
      <c r="B2865" s="9" t="s">
        <v>897</v>
      </c>
      <c r="C2865" s="4">
        <v>201003283</v>
      </c>
      <c r="D2865" s="4"/>
      <c r="E2865" s="4" t="str">
        <f>"065722010"</f>
        <v>065722010</v>
      </c>
      <c r="F2865" s="10">
        <v>40304</v>
      </c>
      <c r="G2865" s="11">
        <v>3875</v>
      </c>
      <c r="H2865" s="11">
        <v>3875</v>
      </c>
      <c r="I2865" s="4" t="s">
        <v>366</v>
      </c>
      <c r="J2865" s="4" t="s">
        <v>367</v>
      </c>
      <c r="K2865" s="11">
        <v>0</v>
      </c>
      <c r="L2865" s="4"/>
      <c r="M2865" s="4"/>
      <c r="N2865" s="11">
        <v>0</v>
      </c>
      <c r="O2865" s="4"/>
      <c r="P2865" s="4"/>
      <c r="Q2865" s="11">
        <v>0</v>
      </c>
      <c r="R2865" s="4"/>
      <c r="S2865" s="12"/>
    </row>
    <row r="2866" spans="1:19" x14ac:dyDescent="0.25">
      <c r="A2866" s="9" t="s">
        <v>897</v>
      </c>
      <c r="B2866" s="9" t="s">
        <v>897</v>
      </c>
      <c r="C2866" s="4">
        <v>201003613</v>
      </c>
      <c r="D2866" s="4"/>
      <c r="E2866" s="4" t="str">
        <f>"073962010"</f>
        <v>073962010</v>
      </c>
      <c r="F2866" s="10">
        <v>40332</v>
      </c>
      <c r="G2866" s="11">
        <v>8068.25</v>
      </c>
      <c r="H2866" s="11">
        <v>8068.25</v>
      </c>
      <c r="I2866" s="4" t="s">
        <v>54</v>
      </c>
      <c r="J2866" s="4" t="s">
        <v>55</v>
      </c>
      <c r="K2866" s="11">
        <v>0</v>
      </c>
      <c r="L2866" s="4"/>
      <c r="M2866" s="4"/>
      <c r="N2866" s="11">
        <v>0</v>
      </c>
      <c r="O2866" s="4"/>
      <c r="P2866" s="4"/>
      <c r="Q2866" s="11">
        <v>0</v>
      </c>
      <c r="R2866" s="4"/>
      <c r="S2866" s="12"/>
    </row>
    <row r="2867" spans="1:19" x14ac:dyDescent="0.25">
      <c r="A2867" s="9" t="s">
        <v>897</v>
      </c>
      <c r="B2867" s="9" t="s">
        <v>897</v>
      </c>
      <c r="C2867" s="4">
        <v>201003616</v>
      </c>
      <c r="D2867" s="4"/>
      <c r="E2867" s="4" t="str">
        <f>"077222010"</f>
        <v>077222010</v>
      </c>
      <c r="F2867" s="10">
        <v>40338</v>
      </c>
      <c r="G2867" s="11">
        <v>30248.54</v>
      </c>
      <c r="H2867" s="11">
        <v>30248.54</v>
      </c>
      <c r="I2867" s="4" t="s">
        <v>54</v>
      </c>
      <c r="J2867" s="4" t="s">
        <v>55</v>
      </c>
      <c r="K2867" s="11">
        <v>0</v>
      </c>
      <c r="L2867" s="4"/>
      <c r="M2867" s="4"/>
      <c r="N2867" s="11">
        <v>0</v>
      </c>
      <c r="O2867" s="4"/>
      <c r="P2867" s="4"/>
      <c r="Q2867" s="11">
        <v>0</v>
      </c>
      <c r="R2867" s="4"/>
      <c r="S2867" s="12"/>
    </row>
    <row r="2868" spans="1:19" x14ac:dyDescent="0.25">
      <c r="A2868" s="9" t="s">
        <v>897</v>
      </c>
      <c r="B2868" s="9" t="s">
        <v>897</v>
      </c>
      <c r="C2868" s="4">
        <v>201003804</v>
      </c>
      <c r="D2868" s="4" t="s">
        <v>2446</v>
      </c>
      <c r="E2868" s="4" t="str">
        <f>"078802010"</f>
        <v>078802010</v>
      </c>
      <c r="F2868" s="10">
        <v>40340</v>
      </c>
      <c r="G2868" s="11">
        <v>3178.64</v>
      </c>
      <c r="H2868" s="11">
        <v>3178.64</v>
      </c>
      <c r="I2868" s="4" t="s">
        <v>366</v>
      </c>
      <c r="J2868" s="4" t="s">
        <v>367</v>
      </c>
      <c r="K2868" s="11">
        <v>0</v>
      </c>
      <c r="L2868" s="4"/>
      <c r="M2868" s="4"/>
      <c r="N2868" s="11">
        <v>0</v>
      </c>
      <c r="O2868" s="4"/>
      <c r="P2868" s="4"/>
      <c r="Q2868" s="11">
        <v>0</v>
      </c>
      <c r="R2868" s="4"/>
      <c r="S2868" s="12"/>
    </row>
    <row r="2869" spans="1:19" x14ac:dyDescent="0.25">
      <c r="A2869" s="9" t="s">
        <v>897</v>
      </c>
      <c r="B2869" s="9" t="s">
        <v>897</v>
      </c>
      <c r="C2869" s="4">
        <v>201003884</v>
      </c>
      <c r="D2869" s="4"/>
      <c r="E2869" s="4" t="str">
        <f>"077832010"</f>
        <v>077832010</v>
      </c>
      <c r="F2869" s="10">
        <v>40340</v>
      </c>
      <c r="G2869" s="11">
        <v>13012.5</v>
      </c>
      <c r="H2869" s="11">
        <v>13012.5</v>
      </c>
      <c r="I2869" s="4" t="s">
        <v>366</v>
      </c>
      <c r="J2869" s="4" t="s">
        <v>367</v>
      </c>
      <c r="K2869" s="11">
        <v>0</v>
      </c>
      <c r="L2869" s="4"/>
      <c r="M2869" s="4"/>
      <c r="N2869" s="11">
        <v>0</v>
      </c>
      <c r="O2869" s="4"/>
      <c r="P2869" s="4"/>
      <c r="Q2869" s="11">
        <v>0</v>
      </c>
      <c r="R2869" s="4"/>
      <c r="S2869" s="12"/>
    </row>
    <row r="2870" spans="1:19" x14ac:dyDescent="0.25">
      <c r="A2870" s="9" t="s">
        <v>897</v>
      </c>
      <c r="B2870" s="9" t="s">
        <v>897</v>
      </c>
      <c r="C2870" s="4">
        <v>201004351</v>
      </c>
      <c r="D2870" s="4"/>
      <c r="E2870" s="4" t="str">
        <f>"088302010"</f>
        <v>088302010</v>
      </c>
      <c r="F2870" s="10">
        <v>40367</v>
      </c>
      <c r="G2870" s="11">
        <v>3325.26</v>
      </c>
      <c r="H2870" s="11">
        <v>3325.26</v>
      </c>
      <c r="I2870" s="4" t="s">
        <v>366</v>
      </c>
      <c r="J2870" s="4" t="s">
        <v>367</v>
      </c>
      <c r="K2870" s="11">
        <v>0</v>
      </c>
      <c r="L2870" s="4"/>
      <c r="M2870" s="4"/>
      <c r="N2870" s="11">
        <v>0</v>
      </c>
      <c r="O2870" s="4"/>
      <c r="P2870" s="4"/>
      <c r="Q2870" s="11">
        <v>0</v>
      </c>
      <c r="R2870" s="4"/>
      <c r="S2870" s="12"/>
    </row>
    <row r="2871" spans="1:19" x14ac:dyDescent="0.25">
      <c r="A2871" s="9" t="s">
        <v>897</v>
      </c>
      <c r="B2871" s="9" t="s">
        <v>897</v>
      </c>
      <c r="C2871" s="4">
        <v>201004614</v>
      </c>
      <c r="D2871" s="4"/>
      <c r="E2871" s="4" t="str">
        <f>"093042010"</f>
        <v>093042010</v>
      </c>
      <c r="F2871" s="10">
        <v>40375</v>
      </c>
      <c r="G2871" s="11">
        <v>4144.3500000000004</v>
      </c>
      <c r="H2871" s="11">
        <v>4144.3500000000004</v>
      </c>
      <c r="I2871" s="4" t="s">
        <v>366</v>
      </c>
      <c r="J2871" s="4" t="s">
        <v>367</v>
      </c>
      <c r="K2871" s="11">
        <v>0</v>
      </c>
      <c r="L2871" s="4"/>
      <c r="M2871" s="4"/>
      <c r="N2871" s="11">
        <v>0</v>
      </c>
      <c r="O2871" s="4"/>
      <c r="P2871" s="4"/>
      <c r="Q2871" s="11">
        <v>0</v>
      </c>
      <c r="R2871" s="4"/>
      <c r="S2871" s="12"/>
    </row>
    <row r="2872" spans="1:19" x14ac:dyDescent="0.25">
      <c r="A2872" s="9" t="s">
        <v>897</v>
      </c>
      <c r="B2872" s="9" t="s">
        <v>897</v>
      </c>
      <c r="C2872" s="4">
        <v>201005194</v>
      </c>
      <c r="D2872" s="4"/>
      <c r="E2872" s="4" t="str">
        <f>"105192010"</f>
        <v>105192010</v>
      </c>
      <c r="F2872" s="10">
        <v>40415</v>
      </c>
      <c r="G2872" s="11">
        <v>10352.549999999999</v>
      </c>
      <c r="H2872" s="11">
        <v>10352.549999999999</v>
      </c>
      <c r="I2872" s="4" t="s">
        <v>366</v>
      </c>
      <c r="J2872" s="4" t="s">
        <v>367</v>
      </c>
      <c r="K2872" s="11">
        <v>0</v>
      </c>
      <c r="L2872" s="4"/>
      <c r="M2872" s="4"/>
      <c r="N2872" s="11">
        <v>0</v>
      </c>
      <c r="O2872" s="4"/>
      <c r="P2872" s="4"/>
      <c r="Q2872" s="11">
        <v>0</v>
      </c>
      <c r="R2872" s="4"/>
      <c r="S2872" s="12"/>
    </row>
    <row r="2873" spans="1:19" x14ac:dyDescent="0.25">
      <c r="A2873" s="9" t="s">
        <v>897</v>
      </c>
      <c r="B2873" s="9" t="s">
        <v>897</v>
      </c>
      <c r="C2873" s="4">
        <v>201005450</v>
      </c>
      <c r="D2873" s="4" t="s">
        <v>2447</v>
      </c>
      <c r="E2873" s="4" t="str">
        <f>"110312010"</f>
        <v>110312010</v>
      </c>
      <c r="F2873" s="10">
        <v>40436</v>
      </c>
      <c r="G2873" s="11">
        <v>6550</v>
      </c>
      <c r="H2873" s="11">
        <v>6550</v>
      </c>
      <c r="I2873" s="4" t="s">
        <v>366</v>
      </c>
      <c r="J2873" s="4" t="s">
        <v>367</v>
      </c>
      <c r="K2873" s="11">
        <v>0</v>
      </c>
      <c r="L2873" s="4"/>
      <c r="M2873" s="4"/>
      <c r="N2873" s="11">
        <v>0</v>
      </c>
      <c r="O2873" s="4"/>
      <c r="P2873" s="4"/>
      <c r="Q2873" s="11">
        <v>0</v>
      </c>
      <c r="R2873" s="4"/>
      <c r="S2873" s="12"/>
    </row>
    <row r="2874" spans="1:19" x14ac:dyDescent="0.25">
      <c r="A2874" s="9" t="s">
        <v>916</v>
      </c>
      <c r="B2874" s="9" t="s">
        <v>916</v>
      </c>
      <c r="C2874" s="4">
        <v>201000026</v>
      </c>
      <c r="D2874" s="4"/>
      <c r="E2874" s="4" t="str">
        <f>"000342010"</f>
        <v>000342010</v>
      </c>
      <c r="F2874" s="10">
        <v>40092</v>
      </c>
      <c r="G2874" s="11">
        <v>3766.86</v>
      </c>
      <c r="H2874" s="11">
        <v>3766.86</v>
      </c>
      <c r="I2874" s="4" t="s">
        <v>366</v>
      </c>
      <c r="J2874" s="4" t="s">
        <v>367</v>
      </c>
      <c r="K2874" s="11">
        <v>0</v>
      </c>
      <c r="L2874" s="4"/>
      <c r="M2874" s="4"/>
      <c r="N2874" s="11">
        <v>0</v>
      </c>
      <c r="O2874" s="4"/>
      <c r="P2874" s="4"/>
      <c r="Q2874" s="11">
        <v>0</v>
      </c>
      <c r="R2874" s="4"/>
      <c r="S2874" s="12"/>
    </row>
    <row r="2875" spans="1:19" x14ac:dyDescent="0.25">
      <c r="A2875" s="9" t="s">
        <v>916</v>
      </c>
      <c r="B2875" s="9" t="s">
        <v>916</v>
      </c>
      <c r="C2875" s="4">
        <v>201000082</v>
      </c>
      <c r="D2875" s="4"/>
      <c r="E2875" s="4" t="str">
        <f>"001722010"</f>
        <v>001722010</v>
      </c>
      <c r="F2875" s="10">
        <v>40094</v>
      </c>
      <c r="G2875" s="11">
        <v>2667.56</v>
      </c>
      <c r="H2875" s="11">
        <v>2667.56</v>
      </c>
      <c r="I2875" s="4" t="s">
        <v>366</v>
      </c>
      <c r="J2875" s="4" t="s">
        <v>367</v>
      </c>
      <c r="K2875" s="11">
        <v>0</v>
      </c>
      <c r="L2875" s="4"/>
      <c r="M2875" s="4"/>
      <c r="N2875" s="11">
        <v>0</v>
      </c>
      <c r="O2875" s="4"/>
      <c r="P2875" s="4"/>
      <c r="Q2875" s="11">
        <v>0</v>
      </c>
      <c r="R2875" s="4"/>
      <c r="S2875" s="12"/>
    </row>
    <row r="2876" spans="1:19" x14ac:dyDescent="0.25">
      <c r="A2876" s="9" t="s">
        <v>916</v>
      </c>
      <c r="B2876" s="9" t="s">
        <v>916</v>
      </c>
      <c r="C2876" s="4">
        <v>201001290</v>
      </c>
      <c r="D2876" s="4"/>
      <c r="E2876" s="4" t="str">
        <f>"024852010"</f>
        <v>024852010</v>
      </c>
      <c r="F2876" s="10">
        <v>40177</v>
      </c>
      <c r="G2876" s="11">
        <v>2604.61</v>
      </c>
      <c r="H2876" s="11">
        <v>2604.61</v>
      </c>
      <c r="I2876" s="4" t="s">
        <v>54</v>
      </c>
      <c r="J2876" s="4" t="s">
        <v>55</v>
      </c>
      <c r="K2876" s="11">
        <v>0</v>
      </c>
      <c r="L2876" s="4"/>
      <c r="M2876" s="4"/>
      <c r="N2876" s="11">
        <v>0</v>
      </c>
      <c r="O2876" s="4"/>
      <c r="P2876" s="4"/>
      <c r="Q2876" s="11">
        <v>0</v>
      </c>
      <c r="R2876" s="4"/>
      <c r="S2876" s="12"/>
    </row>
    <row r="2877" spans="1:19" x14ac:dyDescent="0.25">
      <c r="A2877" s="9" t="s">
        <v>916</v>
      </c>
      <c r="B2877" s="9" t="s">
        <v>916</v>
      </c>
      <c r="C2877" s="4">
        <v>201002111</v>
      </c>
      <c r="D2877" s="4"/>
      <c r="E2877" s="4" t="str">
        <f>"041282010"</f>
        <v>041282010</v>
      </c>
      <c r="F2877" s="10">
        <v>40234</v>
      </c>
      <c r="G2877" s="11">
        <v>2952.23</v>
      </c>
      <c r="H2877" s="11">
        <v>2952.23</v>
      </c>
      <c r="I2877" s="4" t="s">
        <v>931</v>
      </c>
      <c r="J2877" s="4" t="s">
        <v>932</v>
      </c>
      <c r="K2877" s="11">
        <v>0</v>
      </c>
      <c r="L2877" s="4"/>
      <c r="M2877" s="4"/>
      <c r="N2877" s="11">
        <v>0</v>
      </c>
      <c r="O2877" s="4"/>
      <c r="P2877" s="4"/>
      <c r="Q2877" s="11">
        <v>0</v>
      </c>
      <c r="R2877" s="4"/>
      <c r="S2877" s="12"/>
    </row>
    <row r="2878" spans="1:19" x14ac:dyDescent="0.25">
      <c r="A2878" s="9" t="s">
        <v>916</v>
      </c>
      <c r="B2878" s="9" t="s">
        <v>916</v>
      </c>
      <c r="C2878" s="4">
        <v>201002142</v>
      </c>
      <c r="D2878" s="4"/>
      <c r="E2878" s="4" t="str">
        <f>"043692010"</f>
        <v>043692010</v>
      </c>
      <c r="F2878" s="10">
        <v>40245</v>
      </c>
      <c r="G2878" s="11">
        <v>2846.86</v>
      </c>
      <c r="H2878" s="11">
        <v>2846.86</v>
      </c>
      <c r="I2878" s="4" t="s">
        <v>366</v>
      </c>
      <c r="J2878" s="4" t="s">
        <v>367</v>
      </c>
      <c r="K2878" s="11">
        <v>0</v>
      </c>
      <c r="L2878" s="4"/>
      <c r="M2878" s="4"/>
      <c r="N2878" s="11">
        <v>0</v>
      </c>
      <c r="O2878" s="4"/>
      <c r="P2878" s="4"/>
      <c r="Q2878" s="11">
        <v>0</v>
      </c>
      <c r="R2878" s="4"/>
      <c r="S2878" s="12"/>
    </row>
    <row r="2879" spans="1:19" x14ac:dyDescent="0.25">
      <c r="A2879" s="9" t="s">
        <v>916</v>
      </c>
      <c r="B2879" s="9" t="s">
        <v>916</v>
      </c>
      <c r="C2879" s="4">
        <v>201002228</v>
      </c>
      <c r="D2879" s="4"/>
      <c r="E2879" s="4" t="str">
        <f>"046242010"</f>
        <v>046242010</v>
      </c>
      <c r="F2879" s="10">
        <v>40249</v>
      </c>
      <c r="G2879" s="11">
        <v>4111.16</v>
      </c>
      <c r="H2879" s="11">
        <v>4111.16</v>
      </c>
      <c r="I2879" s="4" t="s">
        <v>366</v>
      </c>
      <c r="J2879" s="4" t="s">
        <v>367</v>
      </c>
      <c r="K2879" s="11">
        <v>0</v>
      </c>
      <c r="L2879" s="4"/>
      <c r="M2879" s="4"/>
      <c r="N2879" s="11">
        <v>0</v>
      </c>
      <c r="O2879" s="4"/>
      <c r="P2879" s="4"/>
      <c r="Q2879" s="11">
        <v>0</v>
      </c>
      <c r="R2879" s="4"/>
      <c r="S2879" s="12"/>
    </row>
    <row r="2880" spans="1:19" x14ac:dyDescent="0.25">
      <c r="A2880" s="9" t="s">
        <v>916</v>
      </c>
      <c r="B2880" s="9" t="s">
        <v>916</v>
      </c>
      <c r="C2880" s="4">
        <v>201002517</v>
      </c>
      <c r="D2880" s="4"/>
      <c r="E2880" s="4" t="str">
        <f>"049682010"</f>
        <v>049682010</v>
      </c>
      <c r="F2880" s="10">
        <v>40262</v>
      </c>
      <c r="G2880" s="11">
        <v>3712.2</v>
      </c>
      <c r="H2880" s="11">
        <v>3712.2</v>
      </c>
      <c r="I2880" s="4" t="s">
        <v>366</v>
      </c>
      <c r="J2880" s="4" t="s">
        <v>367</v>
      </c>
      <c r="K2880" s="11">
        <v>0</v>
      </c>
      <c r="L2880" s="4"/>
      <c r="M2880" s="4"/>
      <c r="N2880" s="11">
        <v>0</v>
      </c>
      <c r="O2880" s="4"/>
      <c r="P2880" s="4"/>
      <c r="Q2880" s="11">
        <v>0</v>
      </c>
      <c r="R2880" s="4"/>
      <c r="S2880" s="12"/>
    </row>
    <row r="2881" spans="1:19" x14ac:dyDescent="0.25">
      <c r="A2881" s="9" t="s">
        <v>916</v>
      </c>
      <c r="B2881" s="9" t="s">
        <v>916</v>
      </c>
      <c r="C2881" s="4">
        <v>201002817</v>
      </c>
      <c r="D2881" s="4"/>
      <c r="E2881" s="4" t="str">
        <f>"055472010"</f>
        <v>055472010</v>
      </c>
      <c r="F2881" s="10">
        <v>40273</v>
      </c>
      <c r="G2881" s="11">
        <v>3694.45</v>
      </c>
      <c r="H2881" s="11">
        <v>3694.45</v>
      </c>
      <c r="I2881" s="4" t="s">
        <v>366</v>
      </c>
      <c r="J2881" s="4" t="s">
        <v>367</v>
      </c>
      <c r="K2881" s="11">
        <v>0</v>
      </c>
      <c r="L2881" s="4"/>
      <c r="M2881" s="4"/>
      <c r="N2881" s="11">
        <v>0</v>
      </c>
      <c r="O2881" s="4"/>
      <c r="P2881" s="4"/>
      <c r="Q2881" s="11">
        <v>0</v>
      </c>
      <c r="R2881" s="4"/>
      <c r="S2881" s="12"/>
    </row>
    <row r="2882" spans="1:19" x14ac:dyDescent="0.25">
      <c r="A2882" s="9" t="s">
        <v>916</v>
      </c>
      <c r="B2882" s="9" t="s">
        <v>916</v>
      </c>
      <c r="C2882" s="4">
        <v>201003171</v>
      </c>
      <c r="D2882" s="4"/>
      <c r="E2882" s="4" t="str">
        <f>"063122010"</f>
        <v>063122010</v>
      </c>
      <c r="F2882" s="10">
        <v>40296</v>
      </c>
      <c r="G2882" s="11">
        <v>4150</v>
      </c>
      <c r="H2882" s="11">
        <v>4150</v>
      </c>
      <c r="I2882" s="4" t="s">
        <v>366</v>
      </c>
      <c r="J2882" s="4" t="s">
        <v>367</v>
      </c>
      <c r="K2882" s="11">
        <v>0</v>
      </c>
      <c r="L2882" s="4"/>
      <c r="M2882" s="4"/>
      <c r="N2882" s="11">
        <v>0</v>
      </c>
      <c r="O2882" s="4"/>
      <c r="P2882" s="4"/>
      <c r="Q2882" s="11">
        <v>0</v>
      </c>
      <c r="R2882" s="4"/>
      <c r="S2882" s="12"/>
    </row>
    <row r="2883" spans="1:19" x14ac:dyDescent="0.25">
      <c r="A2883" s="9" t="s">
        <v>916</v>
      </c>
      <c r="B2883" s="9" t="s">
        <v>916</v>
      </c>
      <c r="C2883" s="4">
        <v>201003564</v>
      </c>
      <c r="D2883" s="4"/>
      <c r="E2883" s="4" t="str">
        <f>"091742010"</f>
        <v>091742010</v>
      </c>
      <c r="F2883" s="10">
        <v>40368</v>
      </c>
      <c r="G2883" s="11">
        <v>3729.84</v>
      </c>
      <c r="H2883" s="11">
        <v>3729.84</v>
      </c>
      <c r="I2883" s="4" t="s">
        <v>54</v>
      </c>
      <c r="J2883" s="4" t="s">
        <v>55</v>
      </c>
      <c r="K2883" s="11">
        <v>0</v>
      </c>
      <c r="L2883" s="4"/>
      <c r="M2883" s="4"/>
      <c r="N2883" s="11">
        <v>0</v>
      </c>
      <c r="O2883" s="4"/>
      <c r="P2883" s="4"/>
      <c r="Q2883" s="11">
        <v>0</v>
      </c>
      <c r="R2883" s="4"/>
      <c r="S2883" s="12"/>
    </row>
    <row r="2884" spans="1:19" x14ac:dyDescent="0.25">
      <c r="A2884" s="9" t="s">
        <v>916</v>
      </c>
      <c r="B2884" s="9" t="s">
        <v>916</v>
      </c>
      <c r="C2884" s="4">
        <v>201004132</v>
      </c>
      <c r="D2884" s="4"/>
      <c r="E2884" s="4" t="str">
        <f>"081522010"</f>
        <v>081522010</v>
      </c>
      <c r="F2884" s="10">
        <v>40354</v>
      </c>
      <c r="G2884" s="11">
        <v>4901.92</v>
      </c>
      <c r="H2884" s="11">
        <v>4901.92</v>
      </c>
      <c r="I2884" s="4" t="s">
        <v>366</v>
      </c>
      <c r="J2884" s="4" t="s">
        <v>367</v>
      </c>
      <c r="K2884" s="11">
        <v>0</v>
      </c>
      <c r="L2884" s="4"/>
      <c r="M2884" s="4"/>
      <c r="N2884" s="11">
        <v>0</v>
      </c>
      <c r="O2884" s="4"/>
      <c r="P2884" s="4"/>
      <c r="Q2884" s="11">
        <v>0</v>
      </c>
      <c r="R2884" s="4"/>
      <c r="S2884" s="12"/>
    </row>
    <row r="2885" spans="1:19" x14ac:dyDescent="0.25">
      <c r="A2885" s="9" t="s">
        <v>916</v>
      </c>
      <c r="B2885" s="9" t="s">
        <v>916</v>
      </c>
      <c r="C2885" s="4">
        <v>201004215</v>
      </c>
      <c r="D2885" s="4"/>
      <c r="E2885" s="4" t="str">
        <f>"085102010"</f>
        <v>085102010</v>
      </c>
      <c r="F2885" s="10">
        <v>40358</v>
      </c>
      <c r="G2885" s="11">
        <v>3527.7</v>
      </c>
      <c r="H2885" s="11">
        <v>3527.7</v>
      </c>
      <c r="I2885" s="4" t="s">
        <v>54</v>
      </c>
      <c r="J2885" s="4" t="s">
        <v>55</v>
      </c>
      <c r="K2885" s="11">
        <v>0</v>
      </c>
      <c r="L2885" s="4"/>
      <c r="M2885" s="4"/>
      <c r="N2885" s="11">
        <v>0</v>
      </c>
      <c r="O2885" s="4"/>
      <c r="P2885" s="4"/>
      <c r="Q2885" s="11">
        <v>0</v>
      </c>
      <c r="R2885" s="4"/>
      <c r="S2885" s="12"/>
    </row>
    <row r="2886" spans="1:19" x14ac:dyDescent="0.25">
      <c r="A2886" s="9" t="s">
        <v>916</v>
      </c>
      <c r="B2886" s="9" t="s">
        <v>916</v>
      </c>
      <c r="C2886" s="4">
        <v>201004412</v>
      </c>
      <c r="D2886" s="4"/>
      <c r="E2886" s="4" t="str">
        <f>"087662010"</f>
        <v>087662010</v>
      </c>
      <c r="F2886" s="10">
        <v>40360</v>
      </c>
      <c r="G2886" s="11">
        <v>4087.47</v>
      </c>
      <c r="H2886" s="11">
        <v>4087.47</v>
      </c>
      <c r="I2886" s="4" t="s">
        <v>54</v>
      </c>
      <c r="J2886" s="4" t="s">
        <v>55</v>
      </c>
      <c r="K2886" s="11">
        <v>0</v>
      </c>
      <c r="L2886" s="4"/>
      <c r="M2886" s="4"/>
      <c r="N2886" s="11">
        <v>0</v>
      </c>
      <c r="O2886" s="4"/>
      <c r="P2886" s="4"/>
      <c r="Q2886" s="11">
        <v>0</v>
      </c>
      <c r="R2886" s="4"/>
      <c r="S2886" s="12"/>
    </row>
    <row r="2887" spans="1:19" x14ac:dyDescent="0.25">
      <c r="A2887" s="9" t="s">
        <v>916</v>
      </c>
      <c r="B2887" s="9" t="s">
        <v>916</v>
      </c>
      <c r="C2887" s="4">
        <v>201004520</v>
      </c>
      <c r="D2887" s="4"/>
      <c r="E2887" s="4" t="str">
        <f>"090402010"</f>
        <v>090402010</v>
      </c>
      <c r="F2887" s="10">
        <v>40367</v>
      </c>
      <c r="G2887" s="11">
        <v>5916.97</v>
      </c>
      <c r="H2887" s="11">
        <v>5916.97</v>
      </c>
      <c r="I2887" s="4" t="s">
        <v>366</v>
      </c>
      <c r="J2887" s="4" t="s">
        <v>367</v>
      </c>
      <c r="K2887" s="11">
        <v>0</v>
      </c>
      <c r="L2887" s="4"/>
      <c r="M2887" s="4"/>
      <c r="N2887" s="11">
        <v>0</v>
      </c>
      <c r="O2887" s="4"/>
      <c r="P2887" s="4"/>
      <c r="Q2887" s="11">
        <v>0</v>
      </c>
      <c r="R2887" s="4"/>
      <c r="S2887" s="12"/>
    </row>
    <row r="2888" spans="1:19" x14ac:dyDescent="0.25">
      <c r="A2888" s="9" t="s">
        <v>916</v>
      </c>
      <c r="B2888" s="9" t="s">
        <v>916</v>
      </c>
      <c r="C2888" s="4">
        <v>201004779</v>
      </c>
      <c r="D2888" s="4"/>
      <c r="E2888" s="4" t="str">
        <f>"096152010"</f>
        <v>096152010</v>
      </c>
      <c r="F2888" s="10">
        <v>40387</v>
      </c>
      <c r="G2888" s="11">
        <v>3174.09</v>
      </c>
      <c r="H2888" s="11">
        <v>3174.09</v>
      </c>
      <c r="I2888" s="4" t="s">
        <v>54</v>
      </c>
      <c r="J2888" s="4" t="s">
        <v>55</v>
      </c>
      <c r="K2888" s="11">
        <v>0</v>
      </c>
      <c r="L2888" s="4"/>
      <c r="M2888" s="4"/>
      <c r="N2888" s="11">
        <v>0</v>
      </c>
      <c r="O2888" s="4"/>
      <c r="P2888" s="4"/>
      <c r="Q2888" s="11">
        <v>0</v>
      </c>
      <c r="R2888" s="4"/>
      <c r="S2888" s="12"/>
    </row>
    <row r="2889" spans="1:19" x14ac:dyDescent="0.25">
      <c r="A2889" s="9" t="s">
        <v>916</v>
      </c>
      <c r="B2889" s="9" t="s">
        <v>916</v>
      </c>
      <c r="C2889" s="4">
        <v>201004935</v>
      </c>
      <c r="D2889" s="4"/>
      <c r="E2889" s="4" t="str">
        <f>"098702010"</f>
        <v>098702010</v>
      </c>
      <c r="F2889" s="10">
        <v>40394</v>
      </c>
      <c r="G2889" s="11">
        <v>3072.62</v>
      </c>
      <c r="H2889" s="11">
        <v>3072.62</v>
      </c>
      <c r="I2889" s="4" t="s">
        <v>366</v>
      </c>
      <c r="J2889" s="4" t="s">
        <v>367</v>
      </c>
      <c r="K2889" s="11">
        <v>0</v>
      </c>
      <c r="L2889" s="4"/>
      <c r="M2889" s="4"/>
      <c r="N2889" s="11">
        <v>0</v>
      </c>
      <c r="O2889" s="4"/>
      <c r="P2889" s="4"/>
      <c r="Q2889" s="11">
        <v>0</v>
      </c>
      <c r="R2889" s="4"/>
      <c r="S2889" s="12"/>
    </row>
    <row r="2890" spans="1:19" x14ac:dyDescent="0.25">
      <c r="A2890" s="9" t="s">
        <v>916</v>
      </c>
      <c r="B2890" s="9" t="s">
        <v>916</v>
      </c>
      <c r="C2890" s="4">
        <v>201005281</v>
      </c>
      <c r="D2890" s="4"/>
      <c r="E2890" s="4" t="str">
        <f>"115112010"</f>
        <v>115112010</v>
      </c>
      <c r="F2890" s="10">
        <v>40450</v>
      </c>
      <c r="G2890" s="11">
        <v>5166.92</v>
      </c>
      <c r="H2890" s="11">
        <v>5166.92</v>
      </c>
      <c r="I2890" s="4" t="s">
        <v>366</v>
      </c>
      <c r="J2890" s="4" t="s">
        <v>367</v>
      </c>
      <c r="K2890" s="11">
        <v>0</v>
      </c>
      <c r="L2890" s="4"/>
      <c r="M2890" s="4"/>
      <c r="N2890" s="11">
        <v>0</v>
      </c>
      <c r="O2890" s="4"/>
      <c r="P2890" s="4"/>
      <c r="Q2890" s="11">
        <v>0</v>
      </c>
      <c r="R2890" s="4"/>
      <c r="S2890" s="12"/>
    </row>
    <row r="2891" spans="1:19" x14ac:dyDescent="0.25">
      <c r="A2891" s="9" t="s">
        <v>937</v>
      </c>
      <c r="B2891" s="9" t="s">
        <v>291</v>
      </c>
      <c r="C2891" s="4">
        <v>201001057</v>
      </c>
      <c r="D2891" s="4" t="s">
        <v>939</v>
      </c>
      <c r="E2891" s="4" t="str">
        <f>"020222010"</f>
        <v>020222010</v>
      </c>
      <c r="F2891" s="10">
        <v>40157</v>
      </c>
      <c r="G2891" s="11">
        <v>437374.53</v>
      </c>
      <c r="H2891" s="11">
        <v>437374.53</v>
      </c>
      <c r="I2891" s="4" t="s">
        <v>344</v>
      </c>
      <c r="J2891" s="4" t="s">
        <v>345</v>
      </c>
      <c r="K2891" s="11">
        <v>0</v>
      </c>
      <c r="L2891" s="4"/>
      <c r="M2891" s="4"/>
      <c r="N2891" s="11">
        <v>0</v>
      </c>
      <c r="O2891" s="4"/>
      <c r="P2891" s="4"/>
      <c r="Q2891" s="11">
        <v>0</v>
      </c>
      <c r="R2891" s="4"/>
      <c r="S2891" s="12"/>
    </row>
    <row r="2892" spans="1:19" x14ac:dyDescent="0.25">
      <c r="A2892" s="9" t="s">
        <v>2448</v>
      </c>
      <c r="B2892" s="9" t="s">
        <v>2448</v>
      </c>
      <c r="C2892" s="4">
        <v>201000014</v>
      </c>
      <c r="D2892" s="4"/>
      <c r="E2892" s="4" t="str">
        <f>"000242010"</f>
        <v>000242010</v>
      </c>
      <c r="F2892" s="10">
        <v>40094</v>
      </c>
      <c r="G2892" s="11">
        <v>9098.7199999999993</v>
      </c>
      <c r="H2892" s="11">
        <v>9098.7199999999993</v>
      </c>
      <c r="I2892" s="4" t="s">
        <v>366</v>
      </c>
      <c r="J2892" s="4" t="s">
        <v>367</v>
      </c>
      <c r="K2892" s="11">
        <v>0</v>
      </c>
      <c r="L2892" s="4"/>
      <c r="M2892" s="4"/>
      <c r="N2892" s="11">
        <v>0</v>
      </c>
      <c r="O2892" s="4"/>
      <c r="P2892" s="4"/>
      <c r="Q2892" s="11">
        <v>0</v>
      </c>
      <c r="R2892" s="4"/>
      <c r="S2892" s="12"/>
    </row>
    <row r="2893" spans="1:19" x14ac:dyDescent="0.25">
      <c r="A2893" s="9" t="s">
        <v>2448</v>
      </c>
      <c r="B2893" s="9" t="s">
        <v>552</v>
      </c>
      <c r="C2893" s="4">
        <v>201000865</v>
      </c>
      <c r="D2893" s="4"/>
      <c r="E2893" s="4" t="str">
        <f>"016752010"</f>
        <v>016752010</v>
      </c>
      <c r="F2893" s="10">
        <v>40150</v>
      </c>
      <c r="G2893" s="11">
        <v>6339.3</v>
      </c>
      <c r="H2893" s="11">
        <v>6339.3</v>
      </c>
      <c r="I2893" s="4" t="s">
        <v>366</v>
      </c>
      <c r="J2893" s="4" t="s">
        <v>367</v>
      </c>
      <c r="K2893" s="11">
        <v>0</v>
      </c>
      <c r="L2893" s="4"/>
      <c r="M2893" s="4"/>
      <c r="N2893" s="11">
        <v>0</v>
      </c>
      <c r="O2893" s="4"/>
      <c r="P2893" s="4"/>
      <c r="Q2893" s="11">
        <v>0</v>
      </c>
      <c r="R2893" s="4"/>
      <c r="S2893" s="12"/>
    </row>
    <row r="2894" spans="1:19" x14ac:dyDescent="0.25">
      <c r="A2894" s="9" t="s">
        <v>2448</v>
      </c>
      <c r="B2894" s="9" t="s">
        <v>2448</v>
      </c>
      <c r="C2894" s="4">
        <v>201000908</v>
      </c>
      <c r="D2894" s="4"/>
      <c r="E2894" s="4" t="str">
        <f>"017882010"</f>
        <v>017882010</v>
      </c>
      <c r="F2894" s="10">
        <v>40150</v>
      </c>
      <c r="G2894" s="11">
        <v>15563.73</v>
      </c>
      <c r="H2894" s="11">
        <v>15563.73</v>
      </c>
      <c r="I2894" s="4" t="s">
        <v>366</v>
      </c>
      <c r="J2894" s="4" t="s">
        <v>367</v>
      </c>
      <c r="K2894" s="11">
        <v>0</v>
      </c>
      <c r="L2894" s="4"/>
      <c r="M2894" s="4"/>
      <c r="N2894" s="11">
        <v>0</v>
      </c>
      <c r="O2894" s="4"/>
      <c r="P2894" s="4"/>
      <c r="Q2894" s="11">
        <v>0</v>
      </c>
      <c r="R2894" s="4"/>
      <c r="S2894" s="12"/>
    </row>
    <row r="2895" spans="1:19" x14ac:dyDescent="0.25">
      <c r="A2895" s="9" t="s">
        <v>2448</v>
      </c>
      <c r="B2895" s="9" t="s">
        <v>2448</v>
      </c>
      <c r="C2895" s="4">
        <v>201002516</v>
      </c>
      <c r="D2895" s="4"/>
      <c r="E2895" s="4" t="str">
        <f>"049722010"</f>
        <v>049722010</v>
      </c>
      <c r="F2895" s="10">
        <v>40262</v>
      </c>
      <c r="G2895" s="11">
        <v>5147.01</v>
      </c>
      <c r="H2895" s="11">
        <v>5147.01</v>
      </c>
      <c r="I2895" s="4" t="s">
        <v>366</v>
      </c>
      <c r="J2895" s="4" t="s">
        <v>367</v>
      </c>
      <c r="K2895" s="11">
        <v>0</v>
      </c>
      <c r="L2895" s="4"/>
      <c r="M2895" s="4"/>
      <c r="N2895" s="11">
        <v>0</v>
      </c>
      <c r="O2895" s="4"/>
      <c r="P2895" s="4"/>
      <c r="Q2895" s="11">
        <v>0</v>
      </c>
      <c r="R2895" s="4"/>
      <c r="S2895" s="12"/>
    </row>
    <row r="2896" spans="1:19" x14ac:dyDescent="0.25">
      <c r="A2896" s="9" t="s">
        <v>2448</v>
      </c>
      <c r="B2896" s="9" t="s">
        <v>2448</v>
      </c>
      <c r="C2896" s="4">
        <v>201002619</v>
      </c>
      <c r="D2896" s="4"/>
      <c r="E2896" s="4" t="str">
        <f>"051822010"</f>
        <v>051822010</v>
      </c>
      <c r="F2896" s="10">
        <v>40263</v>
      </c>
      <c r="G2896" s="11">
        <v>6534.25</v>
      </c>
      <c r="H2896" s="11">
        <v>6534.25</v>
      </c>
      <c r="I2896" s="4" t="s">
        <v>366</v>
      </c>
      <c r="J2896" s="4" t="s">
        <v>367</v>
      </c>
      <c r="K2896" s="11">
        <v>0</v>
      </c>
      <c r="L2896" s="4"/>
      <c r="M2896" s="4"/>
      <c r="N2896" s="11">
        <v>0</v>
      </c>
      <c r="O2896" s="4"/>
      <c r="P2896" s="4"/>
      <c r="Q2896" s="11">
        <v>0</v>
      </c>
      <c r="R2896" s="4"/>
      <c r="S2896" s="12"/>
    </row>
    <row r="2897" spans="1:19" x14ac:dyDescent="0.25">
      <c r="A2897" s="9" t="s">
        <v>2448</v>
      </c>
      <c r="B2897" s="9" t="s">
        <v>552</v>
      </c>
      <c r="C2897" s="4">
        <v>201003664</v>
      </c>
      <c r="D2897" s="4"/>
      <c r="E2897" s="4" t="str">
        <f>"073072010"</f>
        <v>073072010</v>
      </c>
      <c r="F2897" s="10">
        <v>40324</v>
      </c>
      <c r="G2897" s="11">
        <v>3000</v>
      </c>
      <c r="H2897" s="11">
        <v>3000</v>
      </c>
      <c r="I2897" s="4" t="s">
        <v>366</v>
      </c>
      <c r="J2897" s="4" t="s">
        <v>367</v>
      </c>
      <c r="K2897" s="11">
        <v>0</v>
      </c>
      <c r="L2897" s="4"/>
      <c r="M2897" s="4"/>
      <c r="N2897" s="11">
        <v>0</v>
      </c>
      <c r="O2897" s="4"/>
      <c r="P2897" s="4"/>
      <c r="Q2897" s="11">
        <v>0</v>
      </c>
      <c r="R2897" s="4"/>
      <c r="S2897" s="12"/>
    </row>
    <row r="2898" spans="1:19" x14ac:dyDescent="0.25">
      <c r="A2898" s="9" t="s">
        <v>2448</v>
      </c>
      <c r="B2898" s="9" t="s">
        <v>2448</v>
      </c>
      <c r="C2898" s="4">
        <v>201004383</v>
      </c>
      <c r="D2898" s="4"/>
      <c r="E2898" s="4" t="str">
        <f>"087582010"</f>
        <v>087582010</v>
      </c>
      <c r="F2898" s="10">
        <v>40360</v>
      </c>
      <c r="G2898" s="11">
        <v>3000</v>
      </c>
      <c r="H2898" s="11">
        <v>3000</v>
      </c>
      <c r="I2898" s="4" t="s">
        <v>366</v>
      </c>
      <c r="J2898" s="4" t="s">
        <v>367</v>
      </c>
      <c r="K2898" s="11">
        <v>0</v>
      </c>
      <c r="L2898" s="4"/>
      <c r="M2898" s="4"/>
      <c r="N2898" s="11">
        <v>0</v>
      </c>
      <c r="O2898" s="4"/>
      <c r="P2898" s="4"/>
      <c r="Q2898" s="11">
        <v>0</v>
      </c>
      <c r="R2898" s="4"/>
      <c r="S2898" s="12"/>
    </row>
    <row r="2899" spans="1:19" x14ac:dyDescent="0.25">
      <c r="A2899" s="9" t="s">
        <v>2448</v>
      </c>
      <c r="B2899" s="9" t="s">
        <v>2448</v>
      </c>
      <c r="C2899" s="4">
        <v>201005369</v>
      </c>
      <c r="D2899" s="4" t="s">
        <v>2449</v>
      </c>
      <c r="E2899" s="4" t="str">
        <f>"106532010"</f>
        <v>106532010</v>
      </c>
      <c r="F2899" s="10">
        <v>40417</v>
      </c>
      <c r="G2899" s="11">
        <v>7500</v>
      </c>
      <c r="H2899" s="11">
        <v>7500</v>
      </c>
      <c r="I2899" s="4" t="s">
        <v>366</v>
      </c>
      <c r="J2899" s="4" t="s">
        <v>367</v>
      </c>
      <c r="K2899" s="11">
        <v>0</v>
      </c>
      <c r="L2899" s="4"/>
      <c r="M2899" s="4"/>
      <c r="N2899" s="11">
        <v>0</v>
      </c>
      <c r="O2899" s="4"/>
      <c r="P2899" s="4"/>
      <c r="Q2899" s="11">
        <v>0</v>
      </c>
      <c r="R2899" s="4"/>
      <c r="S2899" s="12"/>
    </row>
    <row r="2900" spans="1:19" x14ac:dyDescent="0.25">
      <c r="A2900" s="9" t="s">
        <v>2448</v>
      </c>
      <c r="B2900" s="9" t="s">
        <v>552</v>
      </c>
      <c r="C2900" s="4">
        <v>201005652</v>
      </c>
      <c r="D2900" s="4"/>
      <c r="E2900" s="4" t="str">
        <f>"112782010"</f>
        <v>112782010</v>
      </c>
      <c r="F2900" s="10">
        <v>40443</v>
      </c>
      <c r="G2900" s="11">
        <v>7060.78</v>
      </c>
      <c r="H2900" s="11">
        <v>7060.78</v>
      </c>
      <c r="I2900" s="4" t="s">
        <v>366</v>
      </c>
      <c r="J2900" s="4" t="s">
        <v>367</v>
      </c>
      <c r="K2900" s="11">
        <v>0</v>
      </c>
      <c r="L2900" s="4"/>
      <c r="M2900" s="4"/>
      <c r="N2900" s="11">
        <v>0</v>
      </c>
      <c r="O2900" s="4"/>
      <c r="P2900" s="4"/>
      <c r="Q2900" s="11">
        <v>0</v>
      </c>
      <c r="R2900" s="4"/>
      <c r="S2900" s="12"/>
    </row>
    <row r="2901" spans="1:19" x14ac:dyDescent="0.25">
      <c r="A2901" s="9" t="s">
        <v>940</v>
      </c>
      <c r="B2901" s="9" t="s">
        <v>940</v>
      </c>
      <c r="C2901" s="4">
        <v>201000640</v>
      </c>
      <c r="D2901" s="4" t="s">
        <v>942</v>
      </c>
      <c r="E2901" s="4" t="str">
        <f>"011952010"</f>
        <v>011952010</v>
      </c>
      <c r="F2901" s="10">
        <v>40130</v>
      </c>
      <c r="G2901" s="11">
        <v>3987.2</v>
      </c>
      <c r="H2901" s="11">
        <v>3987.2</v>
      </c>
      <c r="I2901" s="4" t="s">
        <v>30</v>
      </c>
      <c r="J2901" s="4" t="s">
        <v>31</v>
      </c>
      <c r="K2901" s="11">
        <v>0</v>
      </c>
      <c r="L2901" s="4"/>
      <c r="M2901" s="4"/>
      <c r="N2901" s="11">
        <v>0</v>
      </c>
      <c r="O2901" s="4"/>
      <c r="P2901" s="4"/>
      <c r="Q2901" s="11">
        <v>0</v>
      </c>
      <c r="R2901" s="4"/>
      <c r="S2901" s="12"/>
    </row>
    <row r="2902" spans="1:19" x14ac:dyDescent="0.25">
      <c r="A2902" s="9" t="s">
        <v>943</v>
      </c>
      <c r="B2902" s="9" t="s">
        <v>943</v>
      </c>
      <c r="C2902" s="4">
        <v>201003982</v>
      </c>
      <c r="D2902" s="4" t="s">
        <v>2450</v>
      </c>
      <c r="E2902" s="4" t="str">
        <f>"079382010"</f>
        <v>079382010</v>
      </c>
      <c r="F2902" s="10">
        <v>40344</v>
      </c>
      <c r="G2902" s="11">
        <v>3400</v>
      </c>
      <c r="H2902" s="11">
        <v>3400</v>
      </c>
      <c r="I2902" s="4" t="s">
        <v>366</v>
      </c>
      <c r="J2902" s="4" t="s">
        <v>367</v>
      </c>
      <c r="K2902" s="11">
        <v>0</v>
      </c>
      <c r="L2902" s="4"/>
      <c r="M2902" s="4"/>
      <c r="N2902" s="11">
        <v>0</v>
      </c>
      <c r="O2902" s="4"/>
      <c r="P2902" s="4"/>
      <c r="Q2902" s="11">
        <v>0</v>
      </c>
      <c r="R2902" s="4"/>
      <c r="S2902" s="12"/>
    </row>
    <row r="2903" spans="1:19" x14ac:dyDescent="0.25">
      <c r="A2903" s="9" t="s">
        <v>943</v>
      </c>
      <c r="B2903" s="9" t="s">
        <v>943</v>
      </c>
      <c r="C2903" s="4">
        <v>201003983</v>
      </c>
      <c r="D2903" s="4" t="s">
        <v>2450</v>
      </c>
      <c r="E2903" s="4" t="str">
        <f>"081242010"</f>
        <v>081242010</v>
      </c>
      <c r="F2903" s="10">
        <v>40346</v>
      </c>
      <c r="G2903" s="11">
        <v>5400</v>
      </c>
      <c r="H2903" s="11">
        <v>5400</v>
      </c>
      <c r="I2903" s="4" t="s">
        <v>366</v>
      </c>
      <c r="J2903" s="4" t="s">
        <v>367</v>
      </c>
      <c r="K2903" s="11">
        <v>0</v>
      </c>
      <c r="L2903" s="4"/>
      <c r="M2903" s="4"/>
      <c r="N2903" s="11">
        <v>0</v>
      </c>
      <c r="O2903" s="4"/>
      <c r="P2903" s="4"/>
      <c r="Q2903" s="11">
        <v>0</v>
      </c>
      <c r="R2903" s="4"/>
      <c r="S2903" s="12"/>
    </row>
    <row r="2904" spans="1:19" x14ac:dyDescent="0.25">
      <c r="A2904" s="9" t="s">
        <v>945</v>
      </c>
      <c r="B2904" s="9" t="s">
        <v>291</v>
      </c>
      <c r="C2904" s="4">
        <v>200905866</v>
      </c>
      <c r="D2904" s="4" t="s">
        <v>2451</v>
      </c>
      <c r="E2904" s="4" t="str">
        <f>"086672009"</f>
        <v>086672009</v>
      </c>
      <c r="F2904" s="10">
        <v>40092</v>
      </c>
      <c r="G2904" s="11">
        <v>14500</v>
      </c>
      <c r="H2904" s="11">
        <v>14500</v>
      </c>
      <c r="I2904" s="4" t="s">
        <v>366</v>
      </c>
      <c r="J2904" s="4" t="s">
        <v>367</v>
      </c>
      <c r="K2904" s="11">
        <v>0</v>
      </c>
      <c r="L2904" s="4"/>
      <c r="M2904" s="4"/>
      <c r="N2904" s="11">
        <v>0</v>
      </c>
      <c r="O2904" s="4"/>
      <c r="P2904" s="4"/>
      <c r="Q2904" s="11">
        <v>0</v>
      </c>
      <c r="R2904" s="4"/>
      <c r="S2904" s="12"/>
    </row>
    <row r="2905" spans="1:19" x14ac:dyDescent="0.25">
      <c r="A2905" s="9" t="s">
        <v>945</v>
      </c>
      <c r="B2905" s="9" t="s">
        <v>945</v>
      </c>
      <c r="C2905" s="4">
        <v>201000027</v>
      </c>
      <c r="D2905" s="4"/>
      <c r="E2905" s="4" t="str">
        <f>"000762010"</f>
        <v>000762010</v>
      </c>
      <c r="F2905" s="10">
        <v>40092</v>
      </c>
      <c r="G2905" s="11">
        <v>50000</v>
      </c>
      <c r="H2905" s="11">
        <v>50000</v>
      </c>
      <c r="I2905" s="4" t="s">
        <v>54</v>
      </c>
      <c r="J2905" s="4" t="s">
        <v>55</v>
      </c>
      <c r="K2905" s="11">
        <v>0</v>
      </c>
      <c r="L2905" s="4"/>
      <c r="M2905" s="4"/>
      <c r="N2905" s="11">
        <v>0</v>
      </c>
      <c r="O2905" s="4"/>
      <c r="P2905" s="4"/>
      <c r="Q2905" s="11">
        <v>0</v>
      </c>
      <c r="R2905" s="4"/>
      <c r="S2905" s="12"/>
    </row>
    <row r="2906" spans="1:19" x14ac:dyDescent="0.25">
      <c r="A2906" s="9" t="s">
        <v>945</v>
      </c>
      <c r="B2906" s="9" t="s">
        <v>945</v>
      </c>
      <c r="C2906" s="4">
        <v>201000400</v>
      </c>
      <c r="D2906" s="4"/>
      <c r="E2906" s="4" t="str">
        <f>"010632010"</f>
        <v>010632010</v>
      </c>
      <c r="F2906" s="10">
        <v>40126</v>
      </c>
      <c r="G2906" s="11">
        <v>6051.3</v>
      </c>
      <c r="H2906" s="11">
        <v>6051.3</v>
      </c>
      <c r="I2906" s="4" t="s">
        <v>366</v>
      </c>
      <c r="J2906" s="4" t="s">
        <v>367</v>
      </c>
      <c r="K2906" s="11">
        <v>0</v>
      </c>
      <c r="L2906" s="4"/>
      <c r="M2906" s="4"/>
      <c r="N2906" s="11">
        <v>0</v>
      </c>
      <c r="O2906" s="4"/>
      <c r="P2906" s="4"/>
      <c r="Q2906" s="11">
        <v>0</v>
      </c>
      <c r="R2906" s="4"/>
      <c r="S2906" s="12"/>
    </row>
    <row r="2907" spans="1:19" x14ac:dyDescent="0.25">
      <c r="A2907" s="9" t="s">
        <v>945</v>
      </c>
      <c r="B2907" s="9" t="s">
        <v>945</v>
      </c>
      <c r="C2907" s="4">
        <v>201000514</v>
      </c>
      <c r="D2907" s="4"/>
      <c r="E2907" s="4" t="str">
        <f>"009372010"</f>
        <v>009372010</v>
      </c>
      <c r="F2907" s="10">
        <v>40122</v>
      </c>
      <c r="G2907" s="11">
        <v>2942.79</v>
      </c>
      <c r="H2907" s="11">
        <v>2942.79</v>
      </c>
      <c r="I2907" s="4" t="s">
        <v>366</v>
      </c>
      <c r="J2907" s="4" t="s">
        <v>367</v>
      </c>
      <c r="K2907" s="11">
        <v>0</v>
      </c>
      <c r="L2907" s="4"/>
      <c r="M2907" s="4"/>
      <c r="N2907" s="11">
        <v>0</v>
      </c>
      <c r="O2907" s="4"/>
      <c r="P2907" s="4"/>
      <c r="Q2907" s="11">
        <v>0</v>
      </c>
      <c r="R2907" s="4"/>
      <c r="S2907" s="12"/>
    </row>
    <row r="2908" spans="1:19" x14ac:dyDescent="0.25">
      <c r="A2908" s="9" t="s">
        <v>945</v>
      </c>
      <c r="B2908" s="9" t="s">
        <v>945</v>
      </c>
      <c r="C2908" s="4">
        <v>201000524</v>
      </c>
      <c r="D2908" s="4" t="s">
        <v>2452</v>
      </c>
      <c r="E2908" s="4" t="str">
        <f>"009932010"</f>
        <v>009932010</v>
      </c>
      <c r="F2908" s="10">
        <v>40123</v>
      </c>
      <c r="G2908" s="11">
        <v>2942.79</v>
      </c>
      <c r="H2908" s="11">
        <v>2942.79</v>
      </c>
      <c r="I2908" s="4" t="s">
        <v>366</v>
      </c>
      <c r="J2908" s="4" t="s">
        <v>367</v>
      </c>
      <c r="K2908" s="11">
        <v>0</v>
      </c>
      <c r="L2908" s="4"/>
      <c r="M2908" s="4"/>
      <c r="N2908" s="11">
        <v>0</v>
      </c>
      <c r="O2908" s="4"/>
      <c r="P2908" s="4"/>
      <c r="Q2908" s="11">
        <v>0</v>
      </c>
      <c r="R2908" s="4"/>
      <c r="S2908" s="12"/>
    </row>
    <row r="2909" spans="1:19" x14ac:dyDescent="0.25">
      <c r="A2909" s="9" t="s">
        <v>945</v>
      </c>
      <c r="B2909" s="9" t="s">
        <v>945</v>
      </c>
      <c r="C2909" s="4">
        <v>201001862</v>
      </c>
      <c r="D2909" s="4"/>
      <c r="E2909" s="4" t="str">
        <f>"036322010"</f>
        <v>036322010</v>
      </c>
      <c r="F2909" s="10">
        <v>40213</v>
      </c>
      <c r="G2909" s="11">
        <v>7444.85</v>
      </c>
      <c r="H2909" s="11">
        <v>7444.85</v>
      </c>
      <c r="I2909" s="4" t="s">
        <v>366</v>
      </c>
      <c r="J2909" s="4" t="s">
        <v>367</v>
      </c>
      <c r="K2909" s="11">
        <v>0</v>
      </c>
      <c r="L2909" s="4"/>
      <c r="M2909" s="4"/>
      <c r="N2909" s="11">
        <v>0</v>
      </c>
      <c r="O2909" s="4"/>
      <c r="P2909" s="4"/>
      <c r="Q2909" s="11">
        <v>0</v>
      </c>
      <c r="R2909" s="4"/>
      <c r="S2909" s="12"/>
    </row>
    <row r="2910" spans="1:19" x14ac:dyDescent="0.25">
      <c r="A2910" s="9" t="s">
        <v>952</v>
      </c>
      <c r="B2910" s="9" t="s">
        <v>952</v>
      </c>
      <c r="C2910" s="4">
        <v>201000060</v>
      </c>
      <c r="D2910" s="4"/>
      <c r="E2910" s="4" t="str">
        <f>"001002010"</f>
        <v>001002010</v>
      </c>
      <c r="F2910" s="10">
        <v>40094</v>
      </c>
      <c r="G2910" s="11">
        <v>4334.95</v>
      </c>
      <c r="H2910" s="11">
        <v>4334.95</v>
      </c>
      <c r="I2910" s="4" t="s">
        <v>366</v>
      </c>
      <c r="J2910" s="4" t="s">
        <v>367</v>
      </c>
      <c r="K2910" s="11">
        <v>0</v>
      </c>
      <c r="L2910" s="4"/>
      <c r="M2910" s="4"/>
      <c r="N2910" s="11">
        <v>0</v>
      </c>
      <c r="O2910" s="4"/>
      <c r="P2910" s="4"/>
      <c r="Q2910" s="11">
        <v>0</v>
      </c>
      <c r="R2910" s="4"/>
      <c r="S2910" s="12"/>
    </row>
    <row r="2911" spans="1:19" x14ac:dyDescent="0.25">
      <c r="A2911" s="9" t="s">
        <v>952</v>
      </c>
      <c r="B2911" s="9" t="s">
        <v>945</v>
      </c>
      <c r="C2911" s="4">
        <v>201000103</v>
      </c>
      <c r="D2911" s="4"/>
      <c r="E2911" s="4" t="str">
        <f>"001962010"</f>
        <v>001962010</v>
      </c>
      <c r="F2911" s="10">
        <v>40095</v>
      </c>
      <c r="G2911" s="11">
        <v>4140</v>
      </c>
      <c r="H2911" s="11">
        <v>4140</v>
      </c>
      <c r="I2911" s="4" t="s">
        <v>366</v>
      </c>
      <c r="J2911" s="4" t="s">
        <v>367</v>
      </c>
      <c r="K2911" s="11">
        <v>0</v>
      </c>
      <c r="L2911" s="4"/>
      <c r="M2911" s="4"/>
      <c r="N2911" s="11">
        <v>0</v>
      </c>
      <c r="O2911" s="4"/>
      <c r="P2911" s="4"/>
      <c r="Q2911" s="11">
        <v>0</v>
      </c>
      <c r="R2911" s="4"/>
      <c r="S2911" s="12"/>
    </row>
    <row r="2912" spans="1:19" x14ac:dyDescent="0.25">
      <c r="A2912" s="9" t="s">
        <v>952</v>
      </c>
      <c r="B2912" s="9" t="s">
        <v>945</v>
      </c>
      <c r="C2912" s="4">
        <v>201000135</v>
      </c>
      <c r="D2912" s="4" t="s">
        <v>2453</v>
      </c>
      <c r="E2912" s="4" t="str">
        <f>"002482010"</f>
        <v>002482010</v>
      </c>
      <c r="F2912" s="10">
        <v>40095</v>
      </c>
      <c r="G2912" s="11">
        <v>3314.34</v>
      </c>
      <c r="H2912" s="11">
        <v>3314.34</v>
      </c>
      <c r="I2912" s="4" t="s">
        <v>366</v>
      </c>
      <c r="J2912" s="4" t="s">
        <v>367</v>
      </c>
      <c r="K2912" s="11">
        <v>0</v>
      </c>
      <c r="L2912" s="4"/>
      <c r="M2912" s="4"/>
      <c r="N2912" s="11">
        <v>0</v>
      </c>
      <c r="O2912" s="4"/>
      <c r="P2912" s="4"/>
      <c r="Q2912" s="11">
        <v>0</v>
      </c>
      <c r="R2912" s="4"/>
      <c r="S2912" s="12"/>
    </row>
    <row r="2913" spans="1:19" x14ac:dyDescent="0.25">
      <c r="A2913" s="9" t="s">
        <v>952</v>
      </c>
      <c r="B2913" s="9" t="s">
        <v>952</v>
      </c>
      <c r="C2913" s="4">
        <v>201000243</v>
      </c>
      <c r="D2913" s="4"/>
      <c r="E2913" s="4" t="str">
        <f>"004282010"</f>
        <v>004282010</v>
      </c>
      <c r="F2913" s="10">
        <v>40105</v>
      </c>
      <c r="G2913" s="11">
        <v>12500</v>
      </c>
      <c r="H2913" s="11">
        <v>12500</v>
      </c>
      <c r="I2913" s="4" t="s">
        <v>366</v>
      </c>
      <c r="J2913" s="4" t="s">
        <v>367</v>
      </c>
      <c r="K2913" s="11">
        <v>0</v>
      </c>
      <c r="L2913" s="4"/>
      <c r="M2913" s="4"/>
      <c r="N2913" s="11">
        <v>0</v>
      </c>
      <c r="O2913" s="4"/>
      <c r="P2913" s="4"/>
      <c r="Q2913" s="11">
        <v>0</v>
      </c>
      <c r="R2913" s="4"/>
      <c r="S2913" s="12"/>
    </row>
    <row r="2914" spans="1:19" x14ac:dyDescent="0.25">
      <c r="A2914" s="9" t="s">
        <v>952</v>
      </c>
      <c r="B2914" s="9" t="s">
        <v>952</v>
      </c>
      <c r="C2914" s="4">
        <v>201000254</v>
      </c>
      <c r="D2914" s="4"/>
      <c r="E2914" s="4" t="str">
        <f>"004412010"</f>
        <v>004412010</v>
      </c>
      <c r="F2914" s="10">
        <v>40107</v>
      </c>
      <c r="G2914" s="11">
        <v>2821.19</v>
      </c>
      <c r="H2914" s="11">
        <v>2821.19</v>
      </c>
      <c r="I2914" s="4" t="s">
        <v>366</v>
      </c>
      <c r="J2914" s="4" t="s">
        <v>367</v>
      </c>
      <c r="K2914" s="11">
        <v>0</v>
      </c>
      <c r="L2914" s="4"/>
      <c r="M2914" s="4"/>
      <c r="N2914" s="11">
        <v>0</v>
      </c>
      <c r="O2914" s="4"/>
      <c r="P2914" s="4"/>
      <c r="Q2914" s="11">
        <v>0</v>
      </c>
      <c r="R2914" s="4"/>
      <c r="S2914" s="12"/>
    </row>
    <row r="2915" spans="1:19" x14ac:dyDescent="0.25">
      <c r="A2915" s="9" t="s">
        <v>952</v>
      </c>
      <c r="B2915" s="9" t="s">
        <v>952</v>
      </c>
      <c r="C2915" s="4">
        <v>201000282</v>
      </c>
      <c r="D2915" s="4" t="s">
        <v>2454</v>
      </c>
      <c r="E2915" s="4" t="str">
        <f>"005072010"</f>
        <v>005072010</v>
      </c>
      <c r="F2915" s="10">
        <v>40109</v>
      </c>
      <c r="G2915" s="11">
        <v>2525.33</v>
      </c>
      <c r="H2915" s="11">
        <v>2525.33</v>
      </c>
      <c r="I2915" s="4" t="s">
        <v>366</v>
      </c>
      <c r="J2915" s="4" t="s">
        <v>367</v>
      </c>
      <c r="K2915" s="11">
        <v>0</v>
      </c>
      <c r="L2915" s="4"/>
      <c r="M2915" s="4"/>
      <c r="N2915" s="11">
        <v>0</v>
      </c>
      <c r="O2915" s="4"/>
      <c r="P2915" s="4"/>
      <c r="Q2915" s="11">
        <v>0</v>
      </c>
      <c r="R2915" s="4"/>
      <c r="S2915" s="12"/>
    </row>
    <row r="2916" spans="1:19" x14ac:dyDescent="0.25">
      <c r="A2916" s="9" t="s">
        <v>952</v>
      </c>
      <c r="B2916" s="9" t="s">
        <v>952</v>
      </c>
      <c r="C2916" s="4">
        <v>201003234</v>
      </c>
      <c r="D2916" s="4"/>
      <c r="E2916" s="4" t="str">
        <f>"068302010"</f>
        <v>068302010</v>
      </c>
      <c r="F2916" s="10">
        <v>40311</v>
      </c>
      <c r="G2916" s="11">
        <v>5323.17</v>
      </c>
      <c r="H2916" s="11">
        <v>5323.17</v>
      </c>
      <c r="I2916" s="4" t="s">
        <v>366</v>
      </c>
      <c r="J2916" s="4" t="s">
        <v>367</v>
      </c>
      <c r="K2916" s="11">
        <v>0</v>
      </c>
      <c r="L2916" s="4"/>
      <c r="M2916" s="4"/>
      <c r="N2916" s="11">
        <v>0</v>
      </c>
      <c r="O2916" s="4"/>
      <c r="P2916" s="4"/>
      <c r="Q2916" s="11">
        <v>0</v>
      </c>
      <c r="R2916" s="4"/>
      <c r="S2916" s="12"/>
    </row>
    <row r="2917" spans="1:19" x14ac:dyDescent="0.25">
      <c r="A2917" s="9" t="s">
        <v>952</v>
      </c>
      <c r="B2917" s="9" t="s">
        <v>952</v>
      </c>
      <c r="C2917" s="4">
        <v>201004621</v>
      </c>
      <c r="D2917" s="4"/>
      <c r="E2917" s="4" t="str">
        <f>"091662010"</f>
        <v>091662010</v>
      </c>
      <c r="F2917" s="10">
        <v>40368</v>
      </c>
      <c r="G2917" s="11">
        <v>4468.84</v>
      </c>
      <c r="H2917" s="11">
        <v>4468.84</v>
      </c>
      <c r="I2917" s="4" t="s">
        <v>366</v>
      </c>
      <c r="J2917" s="4" t="s">
        <v>367</v>
      </c>
      <c r="K2917" s="11">
        <v>0</v>
      </c>
      <c r="L2917" s="4"/>
      <c r="M2917" s="4"/>
      <c r="N2917" s="11">
        <v>0</v>
      </c>
      <c r="O2917" s="4"/>
      <c r="P2917" s="4"/>
      <c r="Q2917" s="11">
        <v>0</v>
      </c>
      <c r="R2917" s="4"/>
      <c r="S2917" s="12"/>
    </row>
    <row r="2918" spans="1:19" x14ac:dyDescent="0.25">
      <c r="A2918" s="9" t="s">
        <v>962</v>
      </c>
      <c r="B2918" s="9" t="s">
        <v>962</v>
      </c>
      <c r="C2918" s="4">
        <v>201001328</v>
      </c>
      <c r="D2918" s="4"/>
      <c r="E2918" s="4" t="str">
        <f>"026152010"</f>
        <v>026152010</v>
      </c>
      <c r="F2918" s="10">
        <v>40192</v>
      </c>
      <c r="G2918" s="11">
        <v>3105</v>
      </c>
      <c r="H2918" s="11">
        <v>3105</v>
      </c>
      <c r="I2918" s="4" t="s">
        <v>931</v>
      </c>
      <c r="J2918" s="4" t="s">
        <v>932</v>
      </c>
      <c r="K2918" s="11">
        <v>0</v>
      </c>
      <c r="L2918" s="4"/>
      <c r="M2918" s="4"/>
      <c r="N2918" s="11">
        <v>0</v>
      </c>
      <c r="O2918" s="4"/>
      <c r="P2918" s="4"/>
      <c r="Q2918" s="11">
        <v>0</v>
      </c>
      <c r="R2918" s="4"/>
      <c r="S2918" s="12"/>
    </row>
    <row r="2919" spans="1:19" x14ac:dyDescent="0.25">
      <c r="A2919" s="9" t="s">
        <v>964</v>
      </c>
      <c r="B2919" s="9" t="s">
        <v>265</v>
      </c>
      <c r="C2919" s="4">
        <v>201000030</v>
      </c>
      <c r="D2919" s="4" t="s">
        <v>2455</v>
      </c>
      <c r="E2919" s="4" t="str">
        <f>"000622010"</f>
        <v>000622010</v>
      </c>
      <c r="F2919" s="10">
        <v>40092</v>
      </c>
      <c r="G2919" s="11">
        <v>175000</v>
      </c>
      <c r="H2919" s="11">
        <v>175000</v>
      </c>
      <c r="I2919" s="4" t="s">
        <v>687</v>
      </c>
      <c r="J2919" s="4" t="s">
        <v>688</v>
      </c>
      <c r="K2919" s="11">
        <v>0</v>
      </c>
      <c r="L2919" s="4"/>
      <c r="M2919" s="4"/>
      <c r="N2919" s="11">
        <v>0</v>
      </c>
      <c r="O2919" s="4"/>
      <c r="P2919" s="4"/>
      <c r="Q2919" s="11">
        <v>0</v>
      </c>
      <c r="R2919" s="4"/>
      <c r="S2919" s="12"/>
    </row>
    <row r="2920" spans="1:19" x14ac:dyDescent="0.25">
      <c r="A2920" s="9" t="s">
        <v>964</v>
      </c>
      <c r="B2920" s="9" t="s">
        <v>265</v>
      </c>
      <c r="C2920" s="4">
        <v>201000655</v>
      </c>
      <c r="D2920" s="4"/>
      <c r="E2920" s="4" t="str">
        <f>"012512010"</f>
        <v>012512010</v>
      </c>
      <c r="F2920" s="10">
        <v>40133</v>
      </c>
      <c r="G2920" s="11">
        <v>5289.89</v>
      </c>
      <c r="H2920" s="11">
        <v>5289.89</v>
      </c>
      <c r="I2920" s="4" t="s">
        <v>366</v>
      </c>
      <c r="J2920" s="4" t="s">
        <v>367</v>
      </c>
      <c r="K2920" s="11">
        <v>0</v>
      </c>
      <c r="L2920" s="4"/>
      <c r="M2920" s="4"/>
      <c r="N2920" s="11">
        <v>0</v>
      </c>
      <c r="O2920" s="4"/>
      <c r="P2920" s="4"/>
      <c r="Q2920" s="11">
        <v>0</v>
      </c>
      <c r="R2920" s="4"/>
      <c r="S2920" s="12"/>
    </row>
    <row r="2921" spans="1:19" x14ac:dyDescent="0.25">
      <c r="A2921" s="9" t="s">
        <v>964</v>
      </c>
      <c r="B2921" s="9" t="s">
        <v>964</v>
      </c>
      <c r="C2921" s="4">
        <v>201001074</v>
      </c>
      <c r="D2921" s="4"/>
      <c r="E2921" s="4" t="str">
        <f>"020422010"</f>
        <v>020422010</v>
      </c>
      <c r="F2921" s="10">
        <v>40157</v>
      </c>
      <c r="G2921" s="11">
        <v>5000</v>
      </c>
      <c r="H2921" s="11">
        <v>5000</v>
      </c>
      <c r="I2921" s="4" t="s">
        <v>366</v>
      </c>
      <c r="J2921" s="4" t="s">
        <v>367</v>
      </c>
      <c r="K2921" s="11">
        <v>0</v>
      </c>
      <c r="L2921" s="4"/>
      <c r="M2921" s="4"/>
      <c r="N2921" s="11">
        <v>0</v>
      </c>
      <c r="O2921" s="4"/>
      <c r="P2921" s="4"/>
      <c r="Q2921" s="11">
        <v>0</v>
      </c>
      <c r="R2921" s="4"/>
      <c r="S2921" s="12"/>
    </row>
    <row r="2922" spans="1:19" x14ac:dyDescent="0.25">
      <c r="A2922" s="9" t="s">
        <v>964</v>
      </c>
      <c r="B2922" s="9" t="s">
        <v>964</v>
      </c>
      <c r="C2922" s="4">
        <v>201001193</v>
      </c>
      <c r="D2922" s="4"/>
      <c r="E2922" s="4" t="str">
        <f>"023392010"</f>
        <v>023392010</v>
      </c>
      <c r="F2922" s="10">
        <v>40165</v>
      </c>
      <c r="G2922" s="11">
        <v>3800</v>
      </c>
      <c r="H2922" s="11">
        <v>3800</v>
      </c>
      <c r="I2922" s="4" t="s">
        <v>366</v>
      </c>
      <c r="J2922" s="4" t="s">
        <v>367</v>
      </c>
      <c r="K2922" s="11">
        <v>0</v>
      </c>
      <c r="L2922" s="4"/>
      <c r="M2922" s="4"/>
      <c r="N2922" s="11">
        <v>0</v>
      </c>
      <c r="O2922" s="4"/>
      <c r="P2922" s="4"/>
      <c r="Q2922" s="11">
        <v>0</v>
      </c>
      <c r="R2922" s="4"/>
      <c r="S2922" s="12"/>
    </row>
    <row r="2923" spans="1:19" x14ac:dyDescent="0.25">
      <c r="A2923" s="9" t="s">
        <v>964</v>
      </c>
      <c r="B2923" s="9" t="s">
        <v>265</v>
      </c>
      <c r="C2923" s="4">
        <v>201001898</v>
      </c>
      <c r="D2923" s="4"/>
      <c r="E2923" s="4" t="str">
        <f>"036682010"</f>
        <v>036682010</v>
      </c>
      <c r="F2923" s="10">
        <v>40213</v>
      </c>
      <c r="G2923" s="11">
        <v>8924.0300000000007</v>
      </c>
      <c r="H2923" s="11">
        <v>8924.0300000000007</v>
      </c>
      <c r="I2923" s="4" t="s">
        <v>54</v>
      </c>
      <c r="J2923" s="4" t="s">
        <v>55</v>
      </c>
      <c r="K2923" s="11">
        <v>0</v>
      </c>
      <c r="L2923" s="4"/>
      <c r="M2923" s="4"/>
      <c r="N2923" s="11">
        <v>0</v>
      </c>
      <c r="O2923" s="4"/>
      <c r="P2923" s="4"/>
      <c r="Q2923" s="11">
        <v>0</v>
      </c>
      <c r="R2923" s="4"/>
      <c r="S2923" s="12"/>
    </row>
    <row r="2924" spans="1:19" x14ac:dyDescent="0.25">
      <c r="A2924" s="9" t="s">
        <v>964</v>
      </c>
      <c r="B2924" s="9" t="s">
        <v>265</v>
      </c>
      <c r="C2924" s="4">
        <v>201002575</v>
      </c>
      <c r="D2924" s="4"/>
      <c r="E2924" s="4" t="str">
        <f>"051062010"</f>
        <v>051062010</v>
      </c>
      <c r="F2924" s="10">
        <v>40263</v>
      </c>
      <c r="G2924" s="11">
        <v>4611.7</v>
      </c>
      <c r="H2924" s="11">
        <v>4611.7</v>
      </c>
      <c r="I2924" s="4" t="s">
        <v>366</v>
      </c>
      <c r="J2924" s="4" t="s">
        <v>367</v>
      </c>
      <c r="K2924" s="11">
        <v>0</v>
      </c>
      <c r="L2924" s="4"/>
      <c r="M2924" s="4"/>
      <c r="N2924" s="11">
        <v>0</v>
      </c>
      <c r="O2924" s="4"/>
      <c r="P2924" s="4"/>
      <c r="Q2924" s="11">
        <v>0</v>
      </c>
      <c r="R2924" s="4"/>
      <c r="S2924" s="12"/>
    </row>
    <row r="2925" spans="1:19" x14ac:dyDescent="0.25">
      <c r="A2925" s="9" t="s">
        <v>964</v>
      </c>
      <c r="B2925" s="9" t="s">
        <v>964</v>
      </c>
      <c r="C2925" s="4">
        <v>201002828</v>
      </c>
      <c r="D2925" s="4" t="s">
        <v>2456</v>
      </c>
      <c r="E2925" s="4" t="str">
        <f>"055712010"</f>
        <v>055712010</v>
      </c>
      <c r="F2925" s="10">
        <v>40275</v>
      </c>
      <c r="G2925" s="11">
        <v>5000</v>
      </c>
      <c r="H2925" s="11">
        <v>5000</v>
      </c>
      <c r="I2925" s="4" t="s">
        <v>366</v>
      </c>
      <c r="J2925" s="4" t="s">
        <v>367</v>
      </c>
      <c r="K2925" s="11">
        <v>0</v>
      </c>
      <c r="L2925" s="4"/>
      <c r="M2925" s="4"/>
      <c r="N2925" s="11">
        <v>0</v>
      </c>
      <c r="O2925" s="4"/>
      <c r="P2925" s="4"/>
      <c r="Q2925" s="11">
        <v>0</v>
      </c>
      <c r="R2925" s="4"/>
      <c r="S2925" s="12"/>
    </row>
    <row r="2926" spans="1:19" x14ac:dyDescent="0.25">
      <c r="A2926" s="9" t="s">
        <v>964</v>
      </c>
      <c r="B2926" s="9" t="s">
        <v>964</v>
      </c>
      <c r="C2926" s="4">
        <v>201003607</v>
      </c>
      <c r="D2926" s="4" t="s">
        <v>2534</v>
      </c>
      <c r="E2926" s="4" t="str">
        <f>"072072010"</f>
        <v>072072010</v>
      </c>
      <c r="F2926" s="10">
        <v>40323</v>
      </c>
      <c r="G2926" s="11">
        <v>7639</v>
      </c>
      <c r="H2926" s="11">
        <v>7000</v>
      </c>
      <c r="I2926" s="4" t="s">
        <v>687</v>
      </c>
      <c r="J2926" s="4" t="s">
        <v>688</v>
      </c>
      <c r="K2926" s="11">
        <v>639</v>
      </c>
      <c r="L2926" s="4" t="s">
        <v>687</v>
      </c>
      <c r="M2926" s="4" t="s">
        <v>688</v>
      </c>
      <c r="N2926" s="11">
        <v>0</v>
      </c>
      <c r="O2926" s="4"/>
      <c r="P2926" s="4"/>
      <c r="Q2926" s="11">
        <v>0</v>
      </c>
      <c r="R2926" s="4"/>
      <c r="S2926" s="12"/>
    </row>
    <row r="2927" spans="1:19" x14ac:dyDescent="0.25">
      <c r="A2927" s="9" t="s">
        <v>964</v>
      </c>
      <c r="B2927" s="9" t="s">
        <v>964</v>
      </c>
      <c r="C2927" s="4">
        <v>201003607</v>
      </c>
      <c r="D2927" s="4" t="s">
        <v>2457</v>
      </c>
      <c r="E2927" s="4" t="str">
        <f>"094002010"</f>
        <v>094002010</v>
      </c>
      <c r="F2927" s="10">
        <v>40379</v>
      </c>
      <c r="G2927" s="11">
        <v>27361</v>
      </c>
      <c r="H2927" s="11">
        <v>27361</v>
      </c>
      <c r="I2927" s="4" t="s">
        <v>687</v>
      </c>
      <c r="J2927" s="4" t="s">
        <v>688</v>
      </c>
      <c r="K2927" s="11">
        <v>0</v>
      </c>
      <c r="L2927" s="4"/>
      <c r="M2927" s="4"/>
      <c r="N2927" s="11">
        <v>0</v>
      </c>
      <c r="O2927" s="4"/>
      <c r="P2927" s="4"/>
      <c r="Q2927" s="11">
        <v>0</v>
      </c>
      <c r="R2927" s="4"/>
      <c r="S2927" s="12"/>
    </row>
    <row r="2928" spans="1:19" x14ac:dyDescent="0.25">
      <c r="A2928" s="9" t="s">
        <v>964</v>
      </c>
      <c r="B2928" s="9" t="s">
        <v>964</v>
      </c>
      <c r="C2928" s="4">
        <v>201004916</v>
      </c>
      <c r="D2928" s="4" t="s">
        <v>2458</v>
      </c>
      <c r="E2928" s="4" t="str">
        <f>"101872010"</f>
        <v>101872010</v>
      </c>
      <c r="F2928" s="10">
        <v>40408</v>
      </c>
      <c r="G2928" s="11">
        <v>200000</v>
      </c>
      <c r="H2928" s="11">
        <v>200000</v>
      </c>
      <c r="I2928" s="4" t="s">
        <v>687</v>
      </c>
      <c r="J2928" s="4" t="s">
        <v>688</v>
      </c>
      <c r="K2928" s="11">
        <v>0</v>
      </c>
      <c r="L2928" s="4"/>
      <c r="M2928" s="4"/>
      <c r="N2928" s="11">
        <v>0</v>
      </c>
      <c r="O2928" s="4"/>
      <c r="P2928" s="4"/>
      <c r="Q2928" s="11">
        <v>0</v>
      </c>
      <c r="R2928" s="4"/>
      <c r="S2928" s="12"/>
    </row>
    <row r="2929" spans="1:19" x14ac:dyDescent="0.25">
      <c r="A2929" s="9" t="s">
        <v>964</v>
      </c>
      <c r="B2929" s="9" t="s">
        <v>964</v>
      </c>
      <c r="C2929" s="4">
        <v>201005036</v>
      </c>
      <c r="D2929" s="4"/>
      <c r="E2929" s="4" t="str">
        <f>"101632010"</f>
        <v>101632010</v>
      </c>
      <c r="F2929" s="10">
        <v>40408</v>
      </c>
      <c r="G2929" s="11">
        <v>15000</v>
      </c>
      <c r="H2929" s="11">
        <v>15000</v>
      </c>
      <c r="I2929" s="4" t="s">
        <v>687</v>
      </c>
      <c r="J2929" s="4" t="s">
        <v>688</v>
      </c>
      <c r="K2929" s="11">
        <v>0</v>
      </c>
      <c r="L2929" s="4"/>
      <c r="M2929" s="4"/>
      <c r="N2929" s="11">
        <v>0</v>
      </c>
      <c r="O2929" s="4"/>
      <c r="P2929" s="4"/>
      <c r="Q2929" s="11">
        <v>0</v>
      </c>
      <c r="R2929" s="4"/>
      <c r="S2929" s="12"/>
    </row>
    <row r="2930" spans="1:19" x14ac:dyDescent="0.25">
      <c r="A2930" s="9" t="s">
        <v>964</v>
      </c>
      <c r="B2930" s="9" t="s">
        <v>964</v>
      </c>
      <c r="C2930" s="4">
        <v>201005256</v>
      </c>
      <c r="D2930" s="4"/>
      <c r="E2930" s="4" t="str">
        <f>"105372010"</f>
        <v>105372010</v>
      </c>
      <c r="F2930" s="10">
        <v>40415</v>
      </c>
      <c r="G2930" s="11">
        <v>3747.15</v>
      </c>
      <c r="H2930" s="11">
        <v>3747.15</v>
      </c>
      <c r="I2930" s="4" t="s">
        <v>366</v>
      </c>
      <c r="J2930" s="4" t="s">
        <v>367</v>
      </c>
      <c r="K2930" s="11">
        <v>0</v>
      </c>
      <c r="L2930" s="4"/>
      <c r="M2930" s="4"/>
      <c r="N2930" s="11">
        <v>0</v>
      </c>
      <c r="O2930" s="4"/>
      <c r="P2930" s="4"/>
      <c r="Q2930" s="11">
        <v>0</v>
      </c>
      <c r="R2930" s="4"/>
      <c r="S2930" s="12"/>
    </row>
    <row r="2931" spans="1:19" x14ac:dyDescent="0.25">
      <c r="A2931" s="9" t="s">
        <v>964</v>
      </c>
      <c r="B2931" s="9" t="s">
        <v>265</v>
      </c>
      <c r="C2931" s="4">
        <v>201005407</v>
      </c>
      <c r="D2931" s="4" t="s">
        <v>2459</v>
      </c>
      <c r="E2931" s="4" t="str">
        <f>"108852010"</f>
        <v>108852010</v>
      </c>
      <c r="F2931" s="10">
        <v>40429</v>
      </c>
      <c r="G2931" s="11">
        <v>11000</v>
      </c>
      <c r="H2931" s="11">
        <v>11000</v>
      </c>
      <c r="I2931" s="4" t="s">
        <v>366</v>
      </c>
      <c r="J2931" s="4" t="s">
        <v>367</v>
      </c>
      <c r="K2931" s="11">
        <v>0</v>
      </c>
      <c r="L2931" s="4"/>
      <c r="M2931" s="4"/>
      <c r="N2931" s="11">
        <v>0</v>
      </c>
      <c r="O2931" s="4"/>
      <c r="P2931" s="4"/>
      <c r="Q2931" s="11">
        <v>0</v>
      </c>
      <c r="R2931" s="4"/>
      <c r="S2931" s="12"/>
    </row>
    <row r="2932" spans="1:19" x14ac:dyDescent="0.25">
      <c r="A2932" s="9" t="s">
        <v>964</v>
      </c>
      <c r="B2932" s="9" t="s">
        <v>265</v>
      </c>
      <c r="C2932" s="4">
        <v>201005493</v>
      </c>
      <c r="D2932" s="4"/>
      <c r="E2932" s="4" t="str">
        <f>"109312010"</f>
        <v>109312010</v>
      </c>
      <c r="F2932" s="10">
        <v>40430</v>
      </c>
      <c r="G2932" s="11">
        <v>2970.84</v>
      </c>
      <c r="H2932" s="11">
        <v>2970.84</v>
      </c>
      <c r="I2932" s="4" t="s">
        <v>366</v>
      </c>
      <c r="J2932" s="4" t="s">
        <v>367</v>
      </c>
      <c r="K2932" s="11">
        <v>0</v>
      </c>
      <c r="L2932" s="4"/>
      <c r="M2932" s="4"/>
      <c r="N2932" s="11">
        <v>0</v>
      </c>
      <c r="O2932" s="4"/>
      <c r="P2932" s="4"/>
      <c r="Q2932" s="11">
        <v>0</v>
      </c>
      <c r="R2932" s="4"/>
      <c r="S2932" s="12"/>
    </row>
    <row r="2933" spans="1:19" x14ac:dyDescent="0.25">
      <c r="A2933" s="9" t="s">
        <v>990</v>
      </c>
      <c r="B2933" s="9" t="s">
        <v>990</v>
      </c>
      <c r="C2933" s="4">
        <v>200905872</v>
      </c>
      <c r="D2933" s="4"/>
      <c r="E2933" s="4" t="str">
        <f>"086712009"</f>
        <v>086712009</v>
      </c>
      <c r="F2933" s="10">
        <v>40091</v>
      </c>
      <c r="G2933" s="11">
        <v>10970.91</v>
      </c>
      <c r="H2933" s="11">
        <v>10970.91</v>
      </c>
      <c r="I2933" s="4" t="s">
        <v>366</v>
      </c>
      <c r="J2933" s="4" t="s">
        <v>367</v>
      </c>
      <c r="K2933" s="11">
        <v>0</v>
      </c>
      <c r="L2933" s="4"/>
      <c r="M2933" s="4"/>
      <c r="N2933" s="11">
        <v>0</v>
      </c>
      <c r="O2933" s="4"/>
      <c r="P2933" s="4"/>
      <c r="Q2933" s="11">
        <v>0</v>
      </c>
      <c r="R2933" s="4"/>
      <c r="S2933" s="12"/>
    </row>
    <row r="2934" spans="1:19" x14ac:dyDescent="0.25">
      <c r="A2934" s="9" t="s">
        <v>990</v>
      </c>
      <c r="B2934" s="9" t="s">
        <v>990</v>
      </c>
      <c r="C2934" s="4">
        <v>201000070</v>
      </c>
      <c r="D2934" s="4"/>
      <c r="E2934" s="4" t="str">
        <f>"004352010"</f>
        <v>004352010</v>
      </c>
      <c r="F2934" s="10">
        <v>40105</v>
      </c>
      <c r="G2934" s="11">
        <v>8509.6299999999992</v>
      </c>
      <c r="H2934" s="11">
        <v>8509.6299999999992</v>
      </c>
      <c r="I2934" s="4" t="s">
        <v>366</v>
      </c>
      <c r="J2934" s="4" t="s">
        <v>367</v>
      </c>
      <c r="K2934" s="11">
        <v>0</v>
      </c>
      <c r="L2934" s="4"/>
      <c r="M2934" s="4"/>
      <c r="N2934" s="11">
        <v>0</v>
      </c>
      <c r="O2934" s="4"/>
      <c r="P2934" s="4"/>
      <c r="Q2934" s="11">
        <v>0</v>
      </c>
      <c r="R2934" s="4"/>
      <c r="S2934" s="12"/>
    </row>
    <row r="2935" spans="1:19" x14ac:dyDescent="0.25">
      <c r="A2935" s="9" t="s">
        <v>990</v>
      </c>
      <c r="B2935" s="9" t="s">
        <v>990</v>
      </c>
      <c r="C2935" s="4">
        <v>201000227</v>
      </c>
      <c r="D2935" s="4"/>
      <c r="E2935" s="4" t="str">
        <f>"004042010"</f>
        <v>004042010</v>
      </c>
      <c r="F2935" s="10">
        <v>40102</v>
      </c>
      <c r="G2935" s="11">
        <v>15065.99</v>
      </c>
      <c r="H2935" s="11">
        <v>15065.99</v>
      </c>
      <c r="I2935" s="4" t="s">
        <v>366</v>
      </c>
      <c r="J2935" s="4" t="s">
        <v>367</v>
      </c>
      <c r="K2935" s="11">
        <v>0</v>
      </c>
      <c r="L2935" s="4"/>
      <c r="M2935" s="4"/>
      <c r="N2935" s="11">
        <v>0</v>
      </c>
      <c r="O2935" s="4"/>
      <c r="P2935" s="4"/>
      <c r="Q2935" s="11">
        <v>0</v>
      </c>
      <c r="R2935" s="4"/>
      <c r="S2935" s="12"/>
    </row>
    <row r="2936" spans="1:19" x14ac:dyDescent="0.25">
      <c r="A2936" s="9" t="s">
        <v>990</v>
      </c>
      <c r="B2936" s="9" t="s">
        <v>990</v>
      </c>
      <c r="C2936" s="4">
        <v>201000305</v>
      </c>
      <c r="D2936" s="4"/>
      <c r="E2936" s="4" t="str">
        <f>"005572010"</f>
        <v>005572010</v>
      </c>
      <c r="F2936" s="10">
        <v>40109</v>
      </c>
      <c r="G2936" s="11">
        <v>8752.81</v>
      </c>
      <c r="H2936" s="11">
        <v>8752.81</v>
      </c>
      <c r="I2936" s="4" t="s">
        <v>366</v>
      </c>
      <c r="J2936" s="4" t="s">
        <v>367</v>
      </c>
      <c r="K2936" s="11">
        <v>0</v>
      </c>
      <c r="L2936" s="4"/>
      <c r="M2936" s="4"/>
      <c r="N2936" s="11">
        <v>0</v>
      </c>
      <c r="O2936" s="4"/>
      <c r="P2936" s="4"/>
      <c r="Q2936" s="11">
        <v>0</v>
      </c>
      <c r="R2936" s="4"/>
      <c r="S2936" s="12"/>
    </row>
    <row r="2937" spans="1:19" x14ac:dyDescent="0.25">
      <c r="A2937" s="9" t="s">
        <v>990</v>
      </c>
      <c r="B2937" s="9" t="s">
        <v>990</v>
      </c>
      <c r="C2937" s="4">
        <v>201000422</v>
      </c>
      <c r="D2937" s="4"/>
      <c r="E2937" s="4" t="str">
        <f>"007752010"</f>
        <v>007752010</v>
      </c>
      <c r="F2937" s="10">
        <v>40120</v>
      </c>
      <c r="G2937" s="11">
        <v>3651.34</v>
      </c>
      <c r="H2937" s="11">
        <v>3651.34</v>
      </c>
      <c r="I2937" s="4" t="s">
        <v>366</v>
      </c>
      <c r="J2937" s="4" t="s">
        <v>367</v>
      </c>
      <c r="K2937" s="11">
        <v>0</v>
      </c>
      <c r="L2937" s="4"/>
      <c r="M2937" s="4"/>
      <c r="N2937" s="11">
        <v>0</v>
      </c>
      <c r="O2937" s="4"/>
      <c r="P2937" s="4"/>
      <c r="Q2937" s="11">
        <v>0</v>
      </c>
      <c r="R2937" s="4"/>
      <c r="S2937" s="12"/>
    </row>
    <row r="2938" spans="1:19" x14ac:dyDescent="0.25">
      <c r="A2938" s="9" t="s">
        <v>990</v>
      </c>
      <c r="B2938" s="9" t="s">
        <v>990</v>
      </c>
      <c r="C2938" s="4">
        <v>201000605</v>
      </c>
      <c r="D2938" s="4"/>
      <c r="E2938" s="4" t="str">
        <f>"011172010"</f>
        <v>011172010</v>
      </c>
      <c r="F2938" s="10">
        <v>40129</v>
      </c>
      <c r="G2938" s="11">
        <v>7771.45</v>
      </c>
      <c r="H2938" s="11">
        <v>7771.45</v>
      </c>
      <c r="I2938" s="4" t="s">
        <v>366</v>
      </c>
      <c r="J2938" s="4" t="s">
        <v>367</v>
      </c>
      <c r="K2938" s="11">
        <v>0</v>
      </c>
      <c r="L2938" s="4"/>
      <c r="M2938" s="4"/>
      <c r="N2938" s="11">
        <v>0</v>
      </c>
      <c r="O2938" s="4"/>
      <c r="P2938" s="4"/>
      <c r="Q2938" s="11">
        <v>0</v>
      </c>
      <c r="R2938" s="4"/>
      <c r="S2938" s="12"/>
    </row>
    <row r="2939" spans="1:19" x14ac:dyDescent="0.25">
      <c r="A2939" s="9" t="s">
        <v>990</v>
      </c>
      <c r="B2939" s="9" t="s">
        <v>990</v>
      </c>
      <c r="C2939" s="4">
        <v>201000934</v>
      </c>
      <c r="D2939" s="4" t="s">
        <v>2460</v>
      </c>
      <c r="E2939" s="4" t="str">
        <f>"017782010"</f>
        <v>017782010</v>
      </c>
      <c r="F2939" s="10">
        <v>40150</v>
      </c>
      <c r="G2939" s="11">
        <v>20000</v>
      </c>
      <c r="H2939" s="11">
        <v>20000</v>
      </c>
      <c r="I2939" s="4" t="s">
        <v>366</v>
      </c>
      <c r="J2939" s="4" t="s">
        <v>367</v>
      </c>
      <c r="K2939" s="11">
        <v>0</v>
      </c>
      <c r="L2939" s="4"/>
      <c r="M2939" s="4"/>
      <c r="N2939" s="11">
        <v>0</v>
      </c>
      <c r="O2939" s="4"/>
      <c r="P2939" s="4"/>
      <c r="Q2939" s="11">
        <v>0</v>
      </c>
      <c r="R2939" s="4"/>
      <c r="S2939" s="12"/>
    </row>
    <row r="2940" spans="1:19" x14ac:dyDescent="0.25">
      <c r="A2940" s="9" t="s">
        <v>990</v>
      </c>
      <c r="B2940" s="9" t="s">
        <v>990</v>
      </c>
      <c r="C2940" s="4">
        <v>201000970</v>
      </c>
      <c r="D2940" s="4"/>
      <c r="E2940" s="4" t="str">
        <f>"018612010"</f>
        <v>018612010</v>
      </c>
      <c r="F2940" s="10">
        <v>40154</v>
      </c>
      <c r="G2940" s="11">
        <v>5890.93</v>
      </c>
      <c r="H2940" s="11">
        <v>5890.93</v>
      </c>
      <c r="I2940" s="4" t="s">
        <v>366</v>
      </c>
      <c r="J2940" s="4" t="s">
        <v>367</v>
      </c>
      <c r="K2940" s="11">
        <v>0</v>
      </c>
      <c r="L2940" s="4"/>
      <c r="M2940" s="4"/>
      <c r="N2940" s="11">
        <v>0</v>
      </c>
      <c r="O2940" s="4"/>
      <c r="P2940" s="4"/>
      <c r="Q2940" s="11">
        <v>0</v>
      </c>
      <c r="R2940" s="4"/>
      <c r="S2940" s="12"/>
    </row>
    <row r="2941" spans="1:19" x14ac:dyDescent="0.25">
      <c r="A2941" s="9" t="s">
        <v>990</v>
      </c>
      <c r="B2941" s="9" t="s">
        <v>990</v>
      </c>
      <c r="C2941" s="4">
        <v>201001388</v>
      </c>
      <c r="D2941" s="4"/>
      <c r="E2941" s="4" t="str">
        <f>"026612010"</f>
        <v>026612010</v>
      </c>
      <c r="F2941" s="10">
        <v>40186</v>
      </c>
      <c r="G2941" s="11">
        <v>5000</v>
      </c>
      <c r="H2941" s="11">
        <v>5000</v>
      </c>
      <c r="I2941" s="4" t="s">
        <v>366</v>
      </c>
      <c r="J2941" s="4" t="s">
        <v>367</v>
      </c>
      <c r="K2941" s="11">
        <v>0</v>
      </c>
      <c r="L2941" s="4"/>
      <c r="M2941" s="4"/>
      <c r="N2941" s="11">
        <v>0</v>
      </c>
      <c r="O2941" s="4"/>
      <c r="P2941" s="4"/>
      <c r="Q2941" s="11">
        <v>0</v>
      </c>
      <c r="R2941" s="4"/>
      <c r="S2941" s="12"/>
    </row>
    <row r="2942" spans="1:19" x14ac:dyDescent="0.25">
      <c r="A2942" s="9" t="s">
        <v>990</v>
      </c>
      <c r="B2942" s="9" t="s">
        <v>990</v>
      </c>
      <c r="C2942" s="4">
        <v>201002724</v>
      </c>
      <c r="D2942" s="4" t="s">
        <v>2461</v>
      </c>
      <c r="E2942" s="4" t="str">
        <f>"053782010"</f>
        <v>053782010</v>
      </c>
      <c r="F2942" s="10">
        <v>40270</v>
      </c>
      <c r="G2942" s="11">
        <v>21500</v>
      </c>
      <c r="H2942" s="11">
        <v>21500</v>
      </c>
      <c r="I2942" s="4" t="s">
        <v>366</v>
      </c>
      <c r="J2942" s="4" t="s">
        <v>367</v>
      </c>
      <c r="K2942" s="11">
        <v>0</v>
      </c>
      <c r="L2942" s="4"/>
      <c r="M2942" s="4"/>
      <c r="N2942" s="11">
        <v>0</v>
      </c>
      <c r="O2942" s="4"/>
      <c r="P2942" s="4"/>
      <c r="Q2942" s="11">
        <v>0</v>
      </c>
      <c r="R2942" s="4"/>
      <c r="S2942" s="12"/>
    </row>
    <row r="2943" spans="1:19" x14ac:dyDescent="0.25">
      <c r="A2943" s="9" t="s">
        <v>990</v>
      </c>
      <c r="B2943" s="9" t="s">
        <v>990</v>
      </c>
      <c r="C2943" s="4">
        <v>201002753</v>
      </c>
      <c r="D2943" s="4" t="s">
        <v>2462</v>
      </c>
      <c r="E2943" s="4" t="str">
        <f>"054022010"</f>
        <v>054022010</v>
      </c>
      <c r="F2943" s="10">
        <v>40270</v>
      </c>
      <c r="G2943" s="11">
        <v>6371.27</v>
      </c>
      <c r="H2943" s="11">
        <v>6371.27</v>
      </c>
      <c r="I2943" s="4" t="s">
        <v>366</v>
      </c>
      <c r="J2943" s="4" t="s">
        <v>367</v>
      </c>
      <c r="K2943" s="11">
        <v>0</v>
      </c>
      <c r="L2943" s="4"/>
      <c r="M2943" s="4"/>
      <c r="N2943" s="11">
        <v>0</v>
      </c>
      <c r="O2943" s="4"/>
      <c r="P2943" s="4"/>
      <c r="Q2943" s="11">
        <v>0</v>
      </c>
      <c r="R2943" s="4"/>
      <c r="S2943" s="12"/>
    </row>
    <row r="2944" spans="1:19" x14ac:dyDescent="0.25">
      <c r="A2944" s="9" t="s">
        <v>990</v>
      </c>
      <c r="B2944" s="9" t="s">
        <v>990</v>
      </c>
      <c r="C2944" s="4">
        <v>201003142</v>
      </c>
      <c r="D2944" s="4"/>
      <c r="E2944" s="4" t="str">
        <f>"062202010"</f>
        <v>062202010</v>
      </c>
      <c r="F2944" s="10">
        <v>40296</v>
      </c>
      <c r="G2944" s="11">
        <v>4413.34</v>
      </c>
      <c r="H2944" s="11">
        <v>4413.34</v>
      </c>
      <c r="I2944" s="4" t="s">
        <v>366</v>
      </c>
      <c r="J2944" s="4" t="s">
        <v>367</v>
      </c>
      <c r="K2944" s="11">
        <v>0</v>
      </c>
      <c r="L2944" s="4"/>
      <c r="M2944" s="4"/>
      <c r="N2944" s="11">
        <v>0</v>
      </c>
      <c r="O2944" s="4"/>
      <c r="P2944" s="4"/>
      <c r="Q2944" s="11">
        <v>0</v>
      </c>
      <c r="R2944" s="4"/>
      <c r="S2944" s="12"/>
    </row>
    <row r="2945" spans="1:19" x14ac:dyDescent="0.25">
      <c r="A2945" s="9" t="s">
        <v>990</v>
      </c>
      <c r="B2945" s="9" t="s">
        <v>990</v>
      </c>
      <c r="C2945" s="4">
        <v>201003325</v>
      </c>
      <c r="D2945" s="4" t="s">
        <v>1875</v>
      </c>
      <c r="E2945" s="4" t="str">
        <f>"109622010"</f>
        <v>109622010</v>
      </c>
      <c r="F2945" s="10">
        <v>40431</v>
      </c>
      <c r="G2945" s="11">
        <v>4028.48</v>
      </c>
      <c r="H2945" s="11">
        <v>4028.48</v>
      </c>
      <c r="I2945" s="4" t="s">
        <v>366</v>
      </c>
      <c r="J2945" s="4" t="s">
        <v>367</v>
      </c>
      <c r="K2945" s="11">
        <v>0</v>
      </c>
      <c r="L2945" s="4"/>
      <c r="M2945" s="4"/>
      <c r="N2945" s="11">
        <v>0</v>
      </c>
      <c r="O2945" s="4"/>
      <c r="P2945" s="4"/>
      <c r="Q2945" s="11">
        <v>0</v>
      </c>
      <c r="R2945" s="4"/>
      <c r="S2945" s="12"/>
    </row>
    <row r="2946" spans="1:19" x14ac:dyDescent="0.25">
      <c r="A2946" s="9" t="s">
        <v>990</v>
      </c>
      <c r="B2946" s="9" t="s">
        <v>990</v>
      </c>
      <c r="C2946" s="4">
        <v>201003413</v>
      </c>
      <c r="D2946" s="4" t="s">
        <v>2534</v>
      </c>
      <c r="E2946" s="4" t="str">
        <f>"068202010"</f>
        <v>068202010</v>
      </c>
      <c r="F2946" s="10">
        <v>40316</v>
      </c>
      <c r="G2946" s="11">
        <v>13742</v>
      </c>
      <c r="H2946" s="11">
        <v>0</v>
      </c>
      <c r="I2946" s="4"/>
      <c r="J2946" s="4"/>
      <c r="K2946" s="11">
        <v>13643</v>
      </c>
      <c r="L2946" s="4" t="s">
        <v>994</v>
      </c>
      <c r="M2946" s="4" t="s">
        <v>995</v>
      </c>
      <c r="N2946" s="11">
        <v>99</v>
      </c>
      <c r="O2946" s="4" t="s">
        <v>994</v>
      </c>
      <c r="P2946" s="4" t="s">
        <v>995</v>
      </c>
      <c r="Q2946" s="11">
        <v>0</v>
      </c>
      <c r="R2946" s="4"/>
      <c r="S2946" s="12"/>
    </row>
    <row r="2947" spans="1:19" x14ac:dyDescent="0.25">
      <c r="A2947" s="9" t="s">
        <v>990</v>
      </c>
      <c r="B2947" s="9" t="s">
        <v>990</v>
      </c>
      <c r="C2947" s="4">
        <v>201003565</v>
      </c>
      <c r="D2947" s="4" t="s">
        <v>2463</v>
      </c>
      <c r="E2947" s="4" t="str">
        <f>"109632010"</f>
        <v>109632010</v>
      </c>
      <c r="F2947" s="10">
        <v>40431</v>
      </c>
      <c r="G2947" s="11">
        <v>9030.86</v>
      </c>
      <c r="H2947" s="11">
        <v>9030.86</v>
      </c>
      <c r="I2947" s="4" t="s">
        <v>366</v>
      </c>
      <c r="J2947" s="4" t="s">
        <v>367</v>
      </c>
      <c r="K2947" s="11">
        <v>0</v>
      </c>
      <c r="L2947" s="4"/>
      <c r="M2947" s="4"/>
      <c r="N2947" s="11">
        <v>0</v>
      </c>
      <c r="O2947" s="4"/>
      <c r="P2947" s="4"/>
      <c r="Q2947" s="11">
        <v>0</v>
      </c>
      <c r="R2947" s="4"/>
      <c r="S2947" s="12"/>
    </row>
    <row r="2948" spans="1:19" x14ac:dyDescent="0.25">
      <c r="A2948" s="9" t="s">
        <v>990</v>
      </c>
      <c r="B2948" s="9" t="s">
        <v>990</v>
      </c>
      <c r="C2948" s="4">
        <v>201003578</v>
      </c>
      <c r="D2948" s="4"/>
      <c r="E2948" s="4" t="str">
        <f>"070752010"</f>
        <v>070752010</v>
      </c>
      <c r="F2948" s="10">
        <v>40316</v>
      </c>
      <c r="G2948" s="11">
        <v>5841.79</v>
      </c>
      <c r="H2948" s="11">
        <v>5841.79</v>
      </c>
      <c r="I2948" s="4" t="s">
        <v>366</v>
      </c>
      <c r="J2948" s="4" t="s">
        <v>367</v>
      </c>
      <c r="K2948" s="11">
        <v>0</v>
      </c>
      <c r="L2948" s="4"/>
      <c r="M2948" s="4"/>
      <c r="N2948" s="11">
        <v>0</v>
      </c>
      <c r="O2948" s="4"/>
      <c r="P2948" s="4"/>
      <c r="Q2948" s="11">
        <v>0</v>
      </c>
      <c r="R2948" s="4"/>
      <c r="S2948" s="12"/>
    </row>
    <row r="2949" spans="1:19" x14ac:dyDescent="0.25">
      <c r="A2949" s="9" t="s">
        <v>990</v>
      </c>
      <c r="B2949" s="9" t="s">
        <v>990</v>
      </c>
      <c r="C2949" s="4">
        <v>201003830</v>
      </c>
      <c r="D2949" s="4"/>
      <c r="E2949" s="4" t="str">
        <f>"091692010"</f>
        <v>091692010</v>
      </c>
      <c r="F2949" s="10">
        <v>40368</v>
      </c>
      <c r="G2949" s="11">
        <v>4754.58</v>
      </c>
      <c r="H2949" s="11">
        <v>4754.58</v>
      </c>
      <c r="I2949" s="4" t="s">
        <v>366</v>
      </c>
      <c r="J2949" s="4" t="s">
        <v>367</v>
      </c>
      <c r="K2949" s="11">
        <v>0</v>
      </c>
      <c r="L2949" s="4"/>
      <c r="M2949" s="4"/>
      <c r="N2949" s="11">
        <v>0</v>
      </c>
      <c r="O2949" s="4"/>
      <c r="P2949" s="4"/>
      <c r="Q2949" s="11">
        <v>0</v>
      </c>
      <c r="R2949" s="4"/>
      <c r="S2949" s="12"/>
    </row>
    <row r="2950" spans="1:19" x14ac:dyDescent="0.25">
      <c r="A2950" s="9" t="s">
        <v>990</v>
      </c>
      <c r="B2950" s="9" t="s">
        <v>990</v>
      </c>
      <c r="C2950" s="4">
        <v>201003833</v>
      </c>
      <c r="D2950" s="4"/>
      <c r="E2950" s="4" t="str">
        <f>"076802010"</f>
        <v>076802010</v>
      </c>
      <c r="F2950" s="10">
        <v>40338</v>
      </c>
      <c r="G2950" s="11">
        <v>3791.6</v>
      </c>
      <c r="H2950" s="11">
        <v>3791.6</v>
      </c>
      <c r="I2950" s="4" t="s">
        <v>366</v>
      </c>
      <c r="J2950" s="4" t="s">
        <v>367</v>
      </c>
      <c r="K2950" s="11">
        <v>0</v>
      </c>
      <c r="L2950" s="4"/>
      <c r="M2950" s="4"/>
      <c r="N2950" s="11">
        <v>0</v>
      </c>
      <c r="O2950" s="4"/>
      <c r="P2950" s="4"/>
      <c r="Q2950" s="11">
        <v>0</v>
      </c>
      <c r="R2950" s="4"/>
      <c r="S2950" s="12"/>
    </row>
    <row r="2951" spans="1:19" x14ac:dyDescent="0.25">
      <c r="A2951" s="9" t="s">
        <v>990</v>
      </c>
      <c r="B2951" s="9" t="s">
        <v>990</v>
      </c>
      <c r="C2951" s="4">
        <v>201004009</v>
      </c>
      <c r="D2951" s="4"/>
      <c r="E2951" s="4" t="str">
        <f>"079402010"</f>
        <v>079402010</v>
      </c>
      <c r="F2951" s="10">
        <v>40344</v>
      </c>
      <c r="G2951" s="11">
        <v>3906.31</v>
      </c>
      <c r="H2951" s="11">
        <v>3906.31</v>
      </c>
      <c r="I2951" s="4" t="s">
        <v>366</v>
      </c>
      <c r="J2951" s="4" t="s">
        <v>367</v>
      </c>
      <c r="K2951" s="11">
        <v>0</v>
      </c>
      <c r="L2951" s="4"/>
      <c r="M2951" s="4"/>
      <c r="N2951" s="11">
        <v>0</v>
      </c>
      <c r="O2951" s="4"/>
      <c r="P2951" s="4"/>
      <c r="Q2951" s="11">
        <v>0</v>
      </c>
      <c r="R2951" s="4"/>
      <c r="S2951" s="12"/>
    </row>
    <row r="2952" spans="1:19" x14ac:dyDescent="0.25">
      <c r="A2952" s="9" t="s">
        <v>990</v>
      </c>
      <c r="B2952" s="9" t="s">
        <v>990</v>
      </c>
      <c r="C2952" s="4">
        <v>201004264</v>
      </c>
      <c r="D2952" s="4"/>
      <c r="E2952" s="4" t="str">
        <f>"084282010"</f>
        <v>084282010</v>
      </c>
      <c r="F2952" s="10">
        <v>40357</v>
      </c>
      <c r="G2952" s="11">
        <v>7189.79</v>
      </c>
      <c r="H2952" s="11">
        <v>7189.79</v>
      </c>
      <c r="I2952" s="4" t="s">
        <v>366</v>
      </c>
      <c r="J2952" s="4" t="s">
        <v>367</v>
      </c>
      <c r="K2952" s="11">
        <v>0</v>
      </c>
      <c r="L2952" s="4"/>
      <c r="M2952" s="4"/>
      <c r="N2952" s="11">
        <v>0</v>
      </c>
      <c r="O2952" s="4"/>
      <c r="P2952" s="4"/>
      <c r="Q2952" s="11">
        <v>0</v>
      </c>
      <c r="R2952" s="4"/>
      <c r="S2952" s="12"/>
    </row>
    <row r="2953" spans="1:19" x14ac:dyDescent="0.25">
      <c r="A2953" s="9" t="s">
        <v>990</v>
      </c>
      <c r="B2953" s="9" t="s">
        <v>990</v>
      </c>
      <c r="C2953" s="4">
        <v>201004460</v>
      </c>
      <c r="D2953" s="4"/>
      <c r="E2953" s="4" t="str">
        <f>"088582010"</f>
        <v>088582010</v>
      </c>
      <c r="F2953" s="10">
        <v>40367</v>
      </c>
      <c r="G2953" s="11">
        <v>15735</v>
      </c>
      <c r="H2953" s="11">
        <v>15735</v>
      </c>
      <c r="I2953" s="4" t="s">
        <v>366</v>
      </c>
      <c r="J2953" s="4" t="s">
        <v>367</v>
      </c>
      <c r="K2953" s="11">
        <v>0</v>
      </c>
      <c r="L2953" s="4"/>
      <c r="M2953" s="4"/>
      <c r="N2953" s="11">
        <v>0</v>
      </c>
      <c r="O2953" s="4"/>
      <c r="P2953" s="4"/>
      <c r="Q2953" s="11">
        <v>0</v>
      </c>
      <c r="R2953" s="4"/>
      <c r="S2953" s="12"/>
    </row>
    <row r="2954" spans="1:19" x14ac:dyDescent="0.25">
      <c r="A2954" s="9" t="s">
        <v>990</v>
      </c>
      <c r="B2954" s="9" t="s">
        <v>990</v>
      </c>
      <c r="C2954" s="4">
        <v>201004625</v>
      </c>
      <c r="D2954" s="4"/>
      <c r="E2954" s="4" t="str">
        <f>"092522010"</f>
        <v>092522010</v>
      </c>
      <c r="F2954" s="10">
        <v>40373</v>
      </c>
      <c r="G2954" s="11">
        <v>2545.62</v>
      </c>
      <c r="H2954" s="11">
        <v>2545.62</v>
      </c>
      <c r="I2954" s="4" t="s">
        <v>366</v>
      </c>
      <c r="J2954" s="4" t="s">
        <v>367</v>
      </c>
      <c r="K2954" s="11">
        <v>0</v>
      </c>
      <c r="L2954" s="4"/>
      <c r="M2954" s="4"/>
      <c r="N2954" s="11">
        <v>0</v>
      </c>
      <c r="O2954" s="4"/>
      <c r="P2954" s="4"/>
      <c r="Q2954" s="11">
        <v>0</v>
      </c>
      <c r="R2954" s="4"/>
      <c r="S2954" s="12"/>
    </row>
    <row r="2955" spans="1:19" x14ac:dyDescent="0.25">
      <c r="A2955" s="9" t="s">
        <v>990</v>
      </c>
      <c r="B2955" s="9" t="s">
        <v>990</v>
      </c>
      <c r="C2955" s="4">
        <v>201004769</v>
      </c>
      <c r="D2955" s="4"/>
      <c r="E2955" s="4" t="str">
        <f>"097472010"</f>
        <v>097472010</v>
      </c>
      <c r="F2955" s="10">
        <v>40394</v>
      </c>
      <c r="G2955" s="11">
        <v>350</v>
      </c>
      <c r="H2955" s="11">
        <v>0</v>
      </c>
      <c r="I2955" s="4"/>
      <c r="J2955" s="4"/>
      <c r="K2955" s="11">
        <v>275</v>
      </c>
      <c r="L2955" s="4" t="s">
        <v>994</v>
      </c>
      <c r="M2955" s="4" t="s">
        <v>995</v>
      </c>
      <c r="N2955" s="11">
        <v>75</v>
      </c>
      <c r="O2955" s="4" t="s">
        <v>994</v>
      </c>
      <c r="P2955" s="4" t="s">
        <v>995</v>
      </c>
      <c r="Q2955" s="11">
        <v>0</v>
      </c>
      <c r="R2955" s="4"/>
      <c r="S2955" s="12"/>
    </row>
    <row r="2956" spans="1:19" x14ac:dyDescent="0.25">
      <c r="A2956" s="9" t="s">
        <v>990</v>
      </c>
      <c r="B2956" s="9" t="s">
        <v>990</v>
      </c>
      <c r="C2956" s="4">
        <v>201005204</v>
      </c>
      <c r="D2956" s="4" t="s">
        <v>2464</v>
      </c>
      <c r="E2956" s="4" t="str">
        <f>"104752010"</f>
        <v>104752010</v>
      </c>
      <c r="F2956" s="10">
        <v>40413</v>
      </c>
      <c r="G2956" s="11">
        <v>8249</v>
      </c>
      <c r="H2956" s="11">
        <v>8249</v>
      </c>
      <c r="I2956" s="4" t="s">
        <v>366</v>
      </c>
      <c r="J2956" s="4" t="s">
        <v>367</v>
      </c>
      <c r="K2956" s="11">
        <v>0</v>
      </c>
      <c r="L2956" s="4"/>
      <c r="M2956" s="4"/>
      <c r="N2956" s="11">
        <v>0</v>
      </c>
      <c r="O2956" s="4"/>
      <c r="P2956" s="4"/>
      <c r="Q2956" s="11">
        <v>0</v>
      </c>
      <c r="R2956" s="4"/>
      <c r="S2956" s="12"/>
    </row>
    <row r="2957" spans="1:19" x14ac:dyDescent="0.25">
      <c r="A2957" s="9" t="s">
        <v>990</v>
      </c>
      <c r="B2957" s="9" t="s">
        <v>990</v>
      </c>
      <c r="C2957" s="4">
        <v>201005349</v>
      </c>
      <c r="D2957" s="4" t="s">
        <v>2465</v>
      </c>
      <c r="E2957" s="4" t="str">
        <f>"106132010"</f>
        <v>106132010</v>
      </c>
      <c r="F2957" s="10">
        <v>40416</v>
      </c>
      <c r="G2957" s="11">
        <v>2659.83</v>
      </c>
      <c r="H2957" s="11">
        <v>2659.83</v>
      </c>
      <c r="I2957" s="4" t="s">
        <v>366</v>
      </c>
      <c r="J2957" s="4" t="s">
        <v>367</v>
      </c>
      <c r="K2957" s="11">
        <v>0</v>
      </c>
      <c r="L2957" s="4"/>
      <c r="M2957" s="4"/>
      <c r="N2957" s="11">
        <v>0</v>
      </c>
      <c r="O2957" s="4"/>
      <c r="P2957" s="4"/>
      <c r="Q2957" s="11">
        <v>0</v>
      </c>
      <c r="R2957" s="4"/>
      <c r="S2957" s="12"/>
    </row>
    <row r="2958" spans="1:19" x14ac:dyDescent="0.25">
      <c r="A2958" s="9" t="s">
        <v>990</v>
      </c>
      <c r="B2958" s="9" t="s">
        <v>990</v>
      </c>
      <c r="C2958" s="4">
        <v>201005357</v>
      </c>
      <c r="D2958" s="4"/>
      <c r="E2958" s="4" t="str">
        <f>"106432010"</f>
        <v>106432010</v>
      </c>
      <c r="F2958" s="10">
        <v>40417</v>
      </c>
      <c r="G2958" s="11">
        <v>7070.05</v>
      </c>
      <c r="H2958" s="11">
        <v>7070.05</v>
      </c>
      <c r="I2958" s="4" t="s">
        <v>366</v>
      </c>
      <c r="J2958" s="4" t="s">
        <v>367</v>
      </c>
      <c r="K2958" s="11">
        <v>0</v>
      </c>
      <c r="L2958" s="4"/>
      <c r="M2958" s="4"/>
      <c r="N2958" s="11">
        <v>0</v>
      </c>
      <c r="O2958" s="4"/>
      <c r="P2958" s="4"/>
      <c r="Q2958" s="11">
        <v>0</v>
      </c>
      <c r="R2958" s="4"/>
      <c r="S2958" s="12"/>
    </row>
    <row r="2959" spans="1:19" x14ac:dyDescent="0.25">
      <c r="A2959" s="9" t="s">
        <v>990</v>
      </c>
      <c r="B2959" s="9" t="s">
        <v>990</v>
      </c>
      <c r="C2959" s="4">
        <v>201005552</v>
      </c>
      <c r="D2959" s="4" t="s">
        <v>2466</v>
      </c>
      <c r="E2959" s="4" t="str">
        <f>"110032010"</f>
        <v>110032010</v>
      </c>
      <c r="F2959" s="10">
        <v>40431</v>
      </c>
      <c r="G2959" s="11">
        <v>7047</v>
      </c>
      <c r="H2959" s="11">
        <v>7047</v>
      </c>
      <c r="I2959" s="4" t="s">
        <v>366</v>
      </c>
      <c r="J2959" s="4" t="s">
        <v>367</v>
      </c>
      <c r="K2959" s="11">
        <v>0</v>
      </c>
      <c r="L2959" s="4"/>
      <c r="M2959" s="4"/>
      <c r="N2959" s="11">
        <v>0</v>
      </c>
      <c r="O2959" s="4"/>
      <c r="P2959" s="4"/>
      <c r="Q2959" s="11">
        <v>0</v>
      </c>
      <c r="R2959" s="4"/>
      <c r="S2959" s="12"/>
    </row>
    <row r="2960" spans="1:19" x14ac:dyDescent="0.25">
      <c r="A2960" s="9" t="s">
        <v>2467</v>
      </c>
      <c r="B2960" s="9" t="s">
        <v>2467</v>
      </c>
      <c r="C2960" s="4">
        <v>201000331</v>
      </c>
      <c r="D2960" s="4"/>
      <c r="E2960" s="4" t="str">
        <f>"007172010"</f>
        <v>007172010</v>
      </c>
      <c r="F2960" s="10">
        <v>40115</v>
      </c>
      <c r="G2960" s="11">
        <v>2628.83</v>
      </c>
      <c r="H2960" s="11">
        <v>2628.83</v>
      </c>
      <c r="I2960" s="4" t="s">
        <v>54</v>
      </c>
      <c r="J2960" s="4" t="s">
        <v>55</v>
      </c>
      <c r="K2960" s="11">
        <v>0</v>
      </c>
      <c r="L2960" s="4"/>
      <c r="M2960" s="4"/>
      <c r="N2960" s="11">
        <v>0</v>
      </c>
      <c r="O2960" s="4"/>
      <c r="P2960" s="4"/>
      <c r="Q2960" s="11">
        <v>0</v>
      </c>
      <c r="R2960" s="4"/>
      <c r="S2960" s="12"/>
    </row>
    <row r="2961" spans="1:19" x14ac:dyDescent="0.25">
      <c r="A2961" s="9" t="s">
        <v>1024</v>
      </c>
      <c r="B2961" s="9" t="s">
        <v>1024</v>
      </c>
      <c r="C2961" s="4">
        <v>201001037</v>
      </c>
      <c r="D2961" s="4" t="s">
        <v>2468</v>
      </c>
      <c r="E2961" s="4" t="str">
        <f>"019842010"</f>
        <v>019842010</v>
      </c>
      <c r="F2961" s="10">
        <v>40157</v>
      </c>
      <c r="G2961" s="11">
        <v>10000</v>
      </c>
      <c r="H2961" s="11">
        <v>10000</v>
      </c>
      <c r="I2961" s="4" t="s">
        <v>366</v>
      </c>
      <c r="J2961" s="4" t="s">
        <v>367</v>
      </c>
      <c r="K2961" s="11">
        <v>0</v>
      </c>
      <c r="L2961" s="4"/>
      <c r="M2961" s="4"/>
      <c r="N2961" s="11">
        <v>0</v>
      </c>
      <c r="O2961" s="4"/>
      <c r="P2961" s="4"/>
      <c r="Q2961" s="11">
        <v>0</v>
      </c>
      <c r="R2961" s="4"/>
      <c r="S2961" s="12"/>
    </row>
    <row r="2962" spans="1:19" x14ac:dyDescent="0.25">
      <c r="A2962" s="9" t="s">
        <v>1024</v>
      </c>
      <c r="B2962" s="9" t="s">
        <v>1024</v>
      </c>
      <c r="C2962" s="4">
        <v>201001051</v>
      </c>
      <c r="D2962" s="4" t="s">
        <v>2469</v>
      </c>
      <c r="E2962" s="4" t="str">
        <f>"022012010"</f>
        <v>022012010</v>
      </c>
      <c r="F2962" s="10">
        <v>40164</v>
      </c>
      <c r="G2962" s="11">
        <v>4382.62</v>
      </c>
      <c r="H2962" s="11">
        <v>4382.62</v>
      </c>
      <c r="I2962" s="4" t="s">
        <v>366</v>
      </c>
      <c r="J2962" s="4" t="s">
        <v>367</v>
      </c>
      <c r="K2962" s="11">
        <v>0</v>
      </c>
      <c r="L2962" s="4"/>
      <c r="M2962" s="4"/>
      <c r="N2962" s="11">
        <v>0</v>
      </c>
      <c r="O2962" s="4"/>
      <c r="P2962" s="4"/>
      <c r="Q2962" s="11">
        <v>0</v>
      </c>
      <c r="R2962" s="4"/>
      <c r="S2962" s="12"/>
    </row>
    <row r="2963" spans="1:19" x14ac:dyDescent="0.25">
      <c r="A2963" s="9" t="s">
        <v>1024</v>
      </c>
      <c r="B2963" s="9" t="s">
        <v>1024</v>
      </c>
      <c r="C2963" s="4">
        <v>201004597</v>
      </c>
      <c r="D2963" s="4" t="s">
        <v>2470</v>
      </c>
      <c r="E2963" s="4" t="str">
        <f>"106192010"</f>
        <v>106192010</v>
      </c>
      <c r="F2963" s="10">
        <v>40417</v>
      </c>
      <c r="G2963" s="11">
        <v>24000</v>
      </c>
      <c r="H2963" s="11">
        <v>24000</v>
      </c>
      <c r="I2963" s="4" t="s">
        <v>366</v>
      </c>
      <c r="J2963" s="4" t="s">
        <v>367</v>
      </c>
      <c r="K2963" s="11">
        <v>0</v>
      </c>
      <c r="L2963" s="4"/>
      <c r="M2963" s="4"/>
      <c r="N2963" s="11">
        <v>0</v>
      </c>
      <c r="O2963" s="4"/>
      <c r="P2963" s="4"/>
      <c r="Q2963" s="11">
        <v>0</v>
      </c>
      <c r="R2963" s="4"/>
      <c r="S2963" s="12"/>
    </row>
    <row r="2964" spans="1:19" x14ac:dyDescent="0.25">
      <c r="A2964" s="9" t="s">
        <v>1038</v>
      </c>
      <c r="B2964" s="9" t="s">
        <v>1038</v>
      </c>
      <c r="C2964" s="4">
        <v>200905813</v>
      </c>
      <c r="D2964" s="4" t="s">
        <v>2471</v>
      </c>
      <c r="E2964" s="4" t="str">
        <f>"086382009"</f>
        <v>086382009</v>
      </c>
      <c r="F2964" s="10">
        <v>40091</v>
      </c>
      <c r="G2964" s="11">
        <v>15000</v>
      </c>
      <c r="H2964" s="11">
        <v>15000</v>
      </c>
      <c r="I2964" s="4" t="s">
        <v>366</v>
      </c>
      <c r="J2964" s="4" t="s">
        <v>367</v>
      </c>
      <c r="K2964" s="11">
        <v>0</v>
      </c>
      <c r="L2964" s="4"/>
      <c r="M2964" s="4"/>
      <c r="N2964" s="11">
        <v>0</v>
      </c>
      <c r="O2964" s="4"/>
      <c r="P2964" s="4"/>
      <c r="Q2964" s="11">
        <v>0</v>
      </c>
      <c r="R2964" s="4"/>
      <c r="S2964" s="12"/>
    </row>
    <row r="2965" spans="1:19" x14ac:dyDescent="0.25">
      <c r="A2965" s="9" t="s">
        <v>1038</v>
      </c>
      <c r="B2965" s="9" t="s">
        <v>291</v>
      </c>
      <c r="C2965" s="4">
        <v>201000031</v>
      </c>
      <c r="D2965" s="4" t="s">
        <v>2472</v>
      </c>
      <c r="E2965" s="4" t="str">
        <f>"000582010"</f>
        <v>000582010</v>
      </c>
      <c r="F2965" s="10">
        <v>40092</v>
      </c>
      <c r="G2965" s="11">
        <v>2700</v>
      </c>
      <c r="H2965" s="11">
        <v>2700</v>
      </c>
      <c r="I2965" s="4" t="s">
        <v>366</v>
      </c>
      <c r="J2965" s="4" t="s">
        <v>367</v>
      </c>
      <c r="K2965" s="11">
        <v>0</v>
      </c>
      <c r="L2965" s="4"/>
      <c r="M2965" s="4"/>
      <c r="N2965" s="11">
        <v>0</v>
      </c>
      <c r="O2965" s="4"/>
      <c r="P2965" s="4"/>
      <c r="Q2965" s="11">
        <v>0</v>
      </c>
      <c r="R2965" s="4"/>
      <c r="S2965" s="12"/>
    </row>
    <row r="2966" spans="1:19" x14ac:dyDescent="0.25">
      <c r="A2966" s="9" t="s">
        <v>1038</v>
      </c>
      <c r="B2966" s="9" t="s">
        <v>1038</v>
      </c>
      <c r="C2966" s="4">
        <v>201000034</v>
      </c>
      <c r="D2966" s="4"/>
      <c r="E2966" s="4" t="str">
        <f>"000362010"</f>
        <v>000362010</v>
      </c>
      <c r="F2966" s="10">
        <v>40092</v>
      </c>
      <c r="G2966" s="11">
        <v>3494.79</v>
      </c>
      <c r="H2966" s="11">
        <v>3494.79</v>
      </c>
      <c r="I2966" s="4" t="s">
        <v>366</v>
      </c>
      <c r="J2966" s="4" t="s">
        <v>367</v>
      </c>
      <c r="K2966" s="11">
        <v>0</v>
      </c>
      <c r="L2966" s="4"/>
      <c r="M2966" s="4"/>
      <c r="N2966" s="11">
        <v>0</v>
      </c>
      <c r="O2966" s="4"/>
      <c r="P2966" s="4"/>
      <c r="Q2966" s="11">
        <v>0</v>
      </c>
      <c r="R2966" s="4"/>
      <c r="S2966" s="12"/>
    </row>
    <row r="2967" spans="1:19" x14ac:dyDescent="0.25">
      <c r="A2967" s="9" t="s">
        <v>1038</v>
      </c>
      <c r="B2967" s="9" t="s">
        <v>291</v>
      </c>
      <c r="C2967" s="4">
        <v>201000111</v>
      </c>
      <c r="D2967" s="4"/>
      <c r="E2967" s="4" t="str">
        <f>"001982010"</f>
        <v>001982010</v>
      </c>
      <c r="F2967" s="10">
        <v>40095</v>
      </c>
      <c r="G2967" s="11">
        <v>7000</v>
      </c>
      <c r="H2967" s="11">
        <v>7000</v>
      </c>
      <c r="I2967" s="4" t="s">
        <v>366</v>
      </c>
      <c r="J2967" s="4" t="s">
        <v>367</v>
      </c>
      <c r="K2967" s="11">
        <v>0</v>
      </c>
      <c r="L2967" s="4"/>
      <c r="M2967" s="4"/>
      <c r="N2967" s="11">
        <v>0</v>
      </c>
      <c r="O2967" s="4"/>
      <c r="P2967" s="4"/>
      <c r="Q2967" s="11">
        <v>0</v>
      </c>
      <c r="R2967" s="4"/>
      <c r="S2967" s="12"/>
    </row>
    <row r="2968" spans="1:19" x14ac:dyDescent="0.25">
      <c r="A2968" s="9" t="s">
        <v>1038</v>
      </c>
      <c r="B2968" s="9" t="s">
        <v>291</v>
      </c>
      <c r="C2968" s="4">
        <v>201000440</v>
      </c>
      <c r="D2968" s="4" t="s">
        <v>2473</v>
      </c>
      <c r="E2968" s="4" t="str">
        <f>"008052010"</f>
        <v>008052010</v>
      </c>
      <c r="F2968" s="10">
        <v>40116</v>
      </c>
      <c r="G2968" s="11">
        <v>6000</v>
      </c>
      <c r="H2968" s="11">
        <v>6000</v>
      </c>
      <c r="I2968" s="4" t="s">
        <v>366</v>
      </c>
      <c r="J2968" s="4" t="s">
        <v>367</v>
      </c>
      <c r="K2968" s="11">
        <v>0</v>
      </c>
      <c r="L2968" s="4"/>
      <c r="M2968" s="4"/>
      <c r="N2968" s="11">
        <v>0</v>
      </c>
      <c r="O2968" s="4"/>
      <c r="P2968" s="4"/>
      <c r="Q2968" s="11">
        <v>0</v>
      </c>
      <c r="R2968" s="4"/>
      <c r="S2968" s="12"/>
    </row>
    <row r="2969" spans="1:19" x14ac:dyDescent="0.25">
      <c r="A2969" s="9" t="s">
        <v>1038</v>
      </c>
      <c r="B2969" s="9" t="s">
        <v>291</v>
      </c>
      <c r="C2969" s="4">
        <v>201000460</v>
      </c>
      <c r="D2969" s="4" t="s">
        <v>2474</v>
      </c>
      <c r="E2969" s="4" t="str">
        <f>"008412010"</f>
        <v>008412010</v>
      </c>
      <c r="F2969" s="10">
        <v>40120</v>
      </c>
      <c r="G2969" s="11">
        <v>5100</v>
      </c>
      <c r="H2969" s="11">
        <v>5100</v>
      </c>
      <c r="I2969" s="4" t="s">
        <v>366</v>
      </c>
      <c r="J2969" s="4" t="s">
        <v>367</v>
      </c>
      <c r="K2969" s="11">
        <v>0</v>
      </c>
      <c r="L2969" s="4"/>
      <c r="M2969" s="4"/>
      <c r="N2969" s="11">
        <v>0</v>
      </c>
      <c r="O2969" s="4"/>
      <c r="P2969" s="4"/>
      <c r="Q2969" s="11">
        <v>0</v>
      </c>
      <c r="R2969" s="4"/>
      <c r="S2969" s="12"/>
    </row>
    <row r="2970" spans="1:19" x14ac:dyDescent="0.25">
      <c r="A2970" s="9" t="s">
        <v>1038</v>
      </c>
      <c r="B2970" s="9" t="s">
        <v>1038</v>
      </c>
      <c r="C2970" s="4">
        <v>201000462</v>
      </c>
      <c r="D2970" s="4"/>
      <c r="E2970" s="4" t="str">
        <f>"008792010"</f>
        <v>008792010</v>
      </c>
      <c r="F2970" s="10">
        <v>40121</v>
      </c>
      <c r="G2970" s="11">
        <v>3873.19</v>
      </c>
      <c r="H2970" s="11">
        <v>3873.19</v>
      </c>
      <c r="I2970" s="4" t="s">
        <v>366</v>
      </c>
      <c r="J2970" s="4" t="s">
        <v>367</v>
      </c>
      <c r="K2970" s="11">
        <v>0</v>
      </c>
      <c r="L2970" s="4"/>
      <c r="M2970" s="4"/>
      <c r="N2970" s="11">
        <v>0</v>
      </c>
      <c r="O2970" s="4"/>
      <c r="P2970" s="4"/>
      <c r="Q2970" s="11">
        <v>0</v>
      </c>
      <c r="R2970" s="4"/>
      <c r="S2970" s="12"/>
    </row>
    <row r="2971" spans="1:19" x14ac:dyDescent="0.25">
      <c r="A2971" s="9" t="s">
        <v>1038</v>
      </c>
      <c r="B2971" s="9" t="s">
        <v>1038</v>
      </c>
      <c r="C2971" s="4">
        <v>201000508</v>
      </c>
      <c r="D2971" s="4"/>
      <c r="E2971" s="4" t="str">
        <f>"009072010"</f>
        <v>009072010</v>
      </c>
      <c r="F2971" s="10">
        <v>40123</v>
      </c>
      <c r="G2971" s="11">
        <v>3377.84</v>
      </c>
      <c r="H2971" s="11">
        <v>3377.84</v>
      </c>
      <c r="I2971" s="4" t="s">
        <v>366</v>
      </c>
      <c r="J2971" s="4" t="s">
        <v>367</v>
      </c>
      <c r="K2971" s="11">
        <v>0</v>
      </c>
      <c r="L2971" s="4"/>
      <c r="M2971" s="4"/>
      <c r="N2971" s="11">
        <v>0</v>
      </c>
      <c r="O2971" s="4"/>
      <c r="P2971" s="4"/>
      <c r="Q2971" s="11">
        <v>0</v>
      </c>
      <c r="R2971" s="4"/>
      <c r="S2971" s="12"/>
    </row>
    <row r="2972" spans="1:19" x14ac:dyDescent="0.25">
      <c r="A2972" s="9" t="s">
        <v>1038</v>
      </c>
      <c r="B2972" s="9" t="s">
        <v>291</v>
      </c>
      <c r="C2972" s="4">
        <v>201000523</v>
      </c>
      <c r="D2972" s="4" t="s">
        <v>2475</v>
      </c>
      <c r="E2972" s="4" t="str">
        <f>"010012010"</f>
        <v>010012010</v>
      </c>
      <c r="F2972" s="10">
        <v>40123</v>
      </c>
      <c r="G2972" s="11">
        <v>5500</v>
      </c>
      <c r="H2972" s="11">
        <v>5500</v>
      </c>
      <c r="I2972" s="4" t="s">
        <v>366</v>
      </c>
      <c r="J2972" s="4" t="s">
        <v>367</v>
      </c>
      <c r="K2972" s="11">
        <v>0</v>
      </c>
      <c r="L2972" s="4"/>
      <c r="M2972" s="4"/>
      <c r="N2972" s="11">
        <v>0</v>
      </c>
      <c r="O2972" s="4"/>
      <c r="P2972" s="4"/>
      <c r="Q2972" s="11">
        <v>0</v>
      </c>
      <c r="R2972" s="4"/>
      <c r="S2972" s="12"/>
    </row>
    <row r="2973" spans="1:19" x14ac:dyDescent="0.25">
      <c r="A2973" s="9" t="s">
        <v>1038</v>
      </c>
      <c r="B2973" s="9" t="s">
        <v>291</v>
      </c>
      <c r="C2973" s="4">
        <v>201000580</v>
      </c>
      <c r="D2973" s="4"/>
      <c r="E2973" s="4" t="str">
        <f>"011832010"</f>
        <v>011832010</v>
      </c>
      <c r="F2973" s="10">
        <v>40133</v>
      </c>
      <c r="G2973" s="11">
        <v>8684.75</v>
      </c>
      <c r="H2973" s="11">
        <v>8684.75</v>
      </c>
      <c r="I2973" s="4" t="s">
        <v>366</v>
      </c>
      <c r="J2973" s="4" t="s">
        <v>367</v>
      </c>
      <c r="K2973" s="11">
        <v>0</v>
      </c>
      <c r="L2973" s="4"/>
      <c r="M2973" s="4"/>
      <c r="N2973" s="11">
        <v>0</v>
      </c>
      <c r="O2973" s="4"/>
      <c r="P2973" s="4"/>
      <c r="Q2973" s="11">
        <v>0</v>
      </c>
      <c r="R2973" s="4"/>
      <c r="S2973" s="12"/>
    </row>
    <row r="2974" spans="1:19" x14ac:dyDescent="0.25">
      <c r="A2974" s="9" t="s">
        <v>1038</v>
      </c>
      <c r="B2974" s="9" t="s">
        <v>291</v>
      </c>
      <c r="C2974" s="4">
        <v>201000592</v>
      </c>
      <c r="D2974" s="4"/>
      <c r="E2974" s="4" t="str">
        <f>"010792010"</f>
        <v>010792010</v>
      </c>
      <c r="F2974" s="10">
        <v>40126</v>
      </c>
      <c r="G2974" s="11">
        <v>2992.41</v>
      </c>
      <c r="H2974" s="11">
        <v>2992.41</v>
      </c>
      <c r="I2974" s="4" t="s">
        <v>366</v>
      </c>
      <c r="J2974" s="4" t="s">
        <v>367</v>
      </c>
      <c r="K2974" s="11">
        <v>0</v>
      </c>
      <c r="L2974" s="4"/>
      <c r="M2974" s="4"/>
      <c r="N2974" s="11">
        <v>0</v>
      </c>
      <c r="O2974" s="4"/>
      <c r="P2974" s="4"/>
      <c r="Q2974" s="11">
        <v>0</v>
      </c>
      <c r="R2974" s="4"/>
      <c r="S2974" s="12"/>
    </row>
    <row r="2975" spans="1:19" x14ac:dyDescent="0.25">
      <c r="A2975" s="9" t="s">
        <v>1038</v>
      </c>
      <c r="B2975" s="9" t="s">
        <v>1038</v>
      </c>
      <c r="C2975" s="4">
        <v>201000677</v>
      </c>
      <c r="D2975" s="4"/>
      <c r="E2975" s="4" t="str">
        <f>"019602010"</f>
        <v>019602010</v>
      </c>
      <c r="F2975" s="10">
        <v>40157</v>
      </c>
      <c r="G2975" s="11">
        <v>2604.29</v>
      </c>
      <c r="H2975" s="11">
        <v>2604.29</v>
      </c>
      <c r="I2975" s="4" t="s">
        <v>366</v>
      </c>
      <c r="J2975" s="4" t="s">
        <v>367</v>
      </c>
      <c r="K2975" s="11">
        <v>0</v>
      </c>
      <c r="L2975" s="4"/>
      <c r="M2975" s="4"/>
      <c r="N2975" s="11">
        <v>0</v>
      </c>
      <c r="O2975" s="4"/>
      <c r="P2975" s="4"/>
      <c r="Q2975" s="11">
        <v>0</v>
      </c>
      <c r="R2975" s="4"/>
      <c r="S2975" s="12"/>
    </row>
    <row r="2976" spans="1:19" x14ac:dyDescent="0.25">
      <c r="A2976" s="9" t="s">
        <v>1038</v>
      </c>
      <c r="B2976" s="9" t="s">
        <v>1038</v>
      </c>
      <c r="C2976" s="4">
        <v>201000910</v>
      </c>
      <c r="D2976" s="4"/>
      <c r="E2976" s="4" t="str">
        <f>"017942010"</f>
        <v>017942010</v>
      </c>
      <c r="F2976" s="10">
        <v>40150</v>
      </c>
      <c r="G2976" s="11">
        <v>4001</v>
      </c>
      <c r="H2976" s="11">
        <v>4001</v>
      </c>
      <c r="I2976" s="4" t="s">
        <v>54</v>
      </c>
      <c r="J2976" s="4" t="s">
        <v>55</v>
      </c>
      <c r="K2976" s="11">
        <v>0</v>
      </c>
      <c r="L2976" s="4"/>
      <c r="M2976" s="4"/>
      <c r="N2976" s="11">
        <v>0</v>
      </c>
      <c r="O2976" s="4"/>
      <c r="P2976" s="4"/>
      <c r="Q2976" s="11">
        <v>0</v>
      </c>
      <c r="R2976" s="4"/>
      <c r="S2976" s="12"/>
    </row>
    <row r="2977" spans="1:19" x14ac:dyDescent="0.25">
      <c r="A2977" s="9" t="s">
        <v>1038</v>
      </c>
      <c r="B2977" s="9" t="s">
        <v>291</v>
      </c>
      <c r="C2977" s="4">
        <v>201001359</v>
      </c>
      <c r="D2977" s="4"/>
      <c r="E2977" s="4" t="str">
        <f>"028102010"</f>
        <v>028102010</v>
      </c>
      <c r="F2977" s="10">
        <v>40186</v>
      </c>
      <c r="G2977" s="11">
        <v>3399.64</v>
      </c>
      <c r="H2977" s="11">
        <v>3399.64</v>
      </c>
      <c r="I2977" s="4" t="s">
        <v>366</v>
      </c>
      <c r="J2977" s="4" t="s">
        <v>367</v>
      </c>
      <c r="K2977" s="11">
        <v>0</v>
      </c>
      <c r="L2977" s="4"/>
      <c r="M2977" s="4"/>
      <c r="N2977" s="11">
        <v>0</v>
      </c>
      <c r="O2977" s="4"/>
      <c r="P2977" s="4"/>
      <c r="Q2977" s="11">
        <v>0</v>
      </c>
      <c r="R2977" s="4"/>
      <c r="S2977" s="12"/>
    </row>
    <row r="2978" spans="1:19" x14ac:dyDescent="0.25">
      <c r="A2978" s="9" t="s">
        <v>1038</v>
      </c>
      <c r="B2978" s="9" t="s">
        <v>1038</v>
      </c>
      <c r="C2978" s="4">
        <v>201001542</v>
      </c>
      <c r="D2978" s="4" t="s">
        <v>2476</v>
      </c>
      <c r="E2978" s="4" t="str">
        <f>"035922010"</f>
        <v>035922010</v>
      </c>
      <c r="F2978" s="10">
        <v>40213</v>
      </c>
      <c r="G2978" s="11">
        <v>5307.04</v>
      </c>
      <c r="H2978" s="11">
        <v>5307.04</v>
      </c>
      <c r="I2978" s="4" t="s">
        <v>366</v>
      </c>
      <c r="J2978" s="4" t="s">
        <v>367</v>
      </c>
      <c r="K2978" s="11">
        <v>0</v>
      </c>
      <c r="L2978" s="4"/>
      <c r="M2978" s="4"/>
      <c r="N2978" s="11">
        <v>0</v>
      </c>
      <c r="O2978" s="4"/>
      <c r="P2978" s="4"/>
      <c r="Q2978" s="11">
        <v>0</v>
      </c>
      <c r="R2978" s="4"/>
      <c r="S2978" s="12"/>
    </row>
    <row r="2979" spans="1:19" x14ac:dyDescent="0.25">
      <c r="A2979" s="9" t="s">
        <v>1038</v>
      </c>
      <c r="B2979" s="9" t="s">
        <v>291</v>
      </c>
      <c r="C2979" s="4">
        <v>201001828</v>
      </c>
      <c r="D2979" s="4"/>
      <c r="E2979" s="4" t="str">
        <f>"035422010"</f>
        <v>035422010</v>
      </c>
      <c r="F2979" s="10">
        <v>40213</v>
      </c>
      <c r="G2979" s="11">
        <v>3003.78</v>
      </c>
      <c r="H2979" s="11">
        <v>3003.78</v>
      </c>
      <c r="I2979" s="4" t="s">
        <v>366</v>
      </c>
      <c r="J2979" s="4" t="s">
        <v>367</v>
      </c>
      <c r="K2979" s="11">
        <v>0</v>
      </c>
      <c r="L2979" s="4"/>
      <c r="M2979" s="4"/>
      <c r="N2979" s="11">
        <v>0</v>
      </c>
      <c r="O2979" s="4"/>
      <c r="P2979" s="4"/>
      <c r="Q2979" s="11">
        <v>0</v>
      </c>
      <c r="R2979" s="4"/>
      <c r="S2979" s="12"/>
    </row>
    <row r="2980" spans="1:19" x14ac:dyDescent="0.25">
      <c r="A2980" s="9" t="s">
        <v>1038</v>
      </c>
      <c r="B2980" s="9" t="s">
        <v>1038</v>
      </c>
      <c r="C2980" s="4">
        <v>201001871</v>
      </c>
      <c r="D2980" s="4"/>
      <c r="E2980" s="4" t="str">
        <f>"037082010"</f>
        <v>037082010</v>
      </c>
      <c r="F2980" s="10">
        <v>40214</v>
      </c>
      <c r="G2980" s="11">
        <v>3606.58</v>
      </c>
      <c r="H2980" s="11">
        <v>3606.58</v>
      </c>
      <c r="I2980" s="4" t="s">
        <v>366</v>
      </c>
      <c r="J2980" s="4" t="s">
        <v>367</v>
      </c>
      <c r="K2980" s="11">
        <v>0</v>
      </c>
      <c r="L2980" s="4"/>
      <c r="M2980" s="4"/>
      <c r="N2980" s="11">
        <v>0</v>
      </c>
      <c r="O2980" s="4"/>
      <c r="P2980" s="4"/>
      <c r="Q2980" s="11">
        <v>0</v>
      </c>
      <c r="R2980" s="4"/>
      <c r="S2980" s="12"/>
    </row>
    <row r="2981" spans="1:19" x14ac:dyDescent="0.25">
      <c r="A2981" s="9" t="s">
        <v>1038</v>
      </c>
      <c r="B2981" s="9" t="s">
        <v>1038</v>
      </c>
      <c r="C2981" s="4">
        <v>201001909</v>
      </c>
      <c r="D2981" s="4"/>
      <c r="E2981" s="4" t="str">
        <f>"037062010"</f>
        <v>037062010</v>
      </c>
      <c r="F2981" s="10">
        <v>40214</v>
      </c>
      <c r="G2981" s="11">
        <v>2603.2800000000002</v>
      </c>
      <c r="H2981" s="11">
        <v>2603.2800000000002</v>
      </c>
      <c r="I2981" s="4" t="s">
        <v>54</v>
      </c>
      <c r="J2981" s="4" t="s">
        <v>55</v>
      </c>
      <c r="K2981" s="11">
        <v>0</v>
      </c>
      <c r="L2981" s="4"/>
      <c r="M2981" s="4"/>
      <c r="N2981" s="11">
        <v>0</v>
      </c>
      <c r="O2981" s="4"/>
      <c r="P2981" s="4"/>
      <c r="Q2981" s="11">
        <v>0</v>
      </c>
      <c r="R2981" s="4"/>
      <c r="S2981" s="12"/>
    </row>
    <row r="2982" spans="1:19" x14ac:dyDescent="0.25">
      <c r="A2982" s="9" t="s">
        <v>1038</v>
      </c>
      <c r="B2982" s="9" t="s">
        <v>291</v>
      </c>
      <c r="C2982" s="4">
        <v>201002095</v>
      </c>
      <c r="D2982" s="4" t="s">
        <v>2477</v>
      </c>
      <c r="E2982" s="4" t="str">
        <f>"040942010"</f>
        <v>040942010</v>
      </c>
      <c r="F2982" s="10">
        <v>40234</v>
      </c>
      <c r="G2982" s="11">
        <v>3403.18</v>
      </c>
      <c r="H2982" s="11">
        <v>3403.18</v>
      </c>
      <c r="I2982" s="4" t="s">
        <v>366</v>
      </c>
      <c r="J2982" s="4" t="s">
        <v>367</v>
      </c>
      <c r="K2982" s="11">
        <v>0</v>
      </c>
      <c r="L2982" s="4"/>
      <c r="M2982" s="4"/>
      <c r="N2982" s="11">
        <v>0</v>
      </c>
      <c r="O2982" s="4"/>
      <c r="P2982" s="4"/>
      <c r="Q2982" s="11">
        <v>0</v>
      </c>
      <c r="R2982" s="4"/>
      <c r="S2982" s="12"/>
    </row>
    <row r="2983" spans="1:19" x14ac:dyDescent="0.25">
      <c r="A2983" s="9" t="s">
        <v>1038</v>
      </c>
      <c r="B2983" s="9" t="s">
        <v>291</v>
      </c>
      <c r="C2983" s="4">
        <v>201002162</v>
      </c>
      <c r="D2983" s="4"/>
      <c r="E2983" s="4" t="str">
        <f>"042432010"</f>
        <v>042432010</v>
      </c>
      <c r="F2983" s="10">
        <v>40246</v>
      </c>
      <c r="G2983" s="11">
        <v>4700</v>
      </c>
      <c r="H2983" s="11">
        <v>4700</v>
      </c>
      <c r="I2983" s="4" t="s">
        <v>366</v>
      </c>
      <c r="J2983" s="4" t="s">
        <v>367</v>
      </c>
      <c r="K2983" s="11">
        <v>0</v>
      </c>
      <c r="L2983" s="4"/>
      <c r="M2983" s="4"/>
      <c r="N2983" s="11">
        <v>0</v>
      </c>
      <c r="O2983" s="4"/>
      <c r="P2983" s="4"/>
      <c r="Q2983" s="11">
        <v>0</v>
      </c>
      <c r="R2983" s="4"/>
      <c r="S2983" s="12"/>
    </row>
    <row r="2984" spans="1:19" x14ac:dyDescent="0.25">
      <c r="A2984" s="9" t="s">
        <v>1038</v>
      </c>
      <c r="B2984" s="9" t="s">
        <v>291</v>
      </c>
      <c r="C2984" s="4">
        <v>201002380</v>
      </c>
      <c r="D2984" s="4"/>
      <c r="E2984" s="4" t="str">
        <f>"046762010"</f>
        <v>046762010</v>
      </c>
      <c r="F2984" s="10">
        <v>40252</v>
      </c>
      <c r="G2984" s="11">
        <v>4449.22</v>
      </c>
      <c r="H2984" s="11">
        <v>4449.22</v>
      </c>
      <c r="I2984" s="4" t="s">
        <v>366</v>
      </c>
      <c r="J2984" s="4" t="s">
        <v>367</v>
      </c>
      <c r="K2984" s="11">
        <v>0</v>
      </c>
      <c r="L2984" s="4"/>
      <c r="M2984" s="4"/>
      <c r="N2984" s="11">
        <v>0</v>
      </c>
      <c r="O2984" s="4"/>
      <c r="P2984" s="4"/>
      <c r="Q2984" s="11">
        <v>0</v>
      </c>
      <c r="R2984" s="4"/>
      <c r="S2984" s="12"/>
    </row>
    <row r="2985" spans="1:19" x14ac:dyDescent="0.25">
      <c r="A2985" s="9" t="s">
        <v>1038</v>
      </c>
      <c r="B2985" s="9" t="s">
        <v>291</v>
      </c>
      <c r="C2985" s="4">
        <v>201002383</v>
      </c>
      <c r="D2985" s="4" t="s">
        <v>2478</v>
      </c>
      <c r="E2985" s="4" t="str">
        <f>"046502010"</f>
        <v>046502010</v>
      </c>
      <c r="F2985" s="10">
        <v>40252</v>
      </c>
      <c r="G2985" s="11">
        <v>32655</v>
      </c>
      <c r="H2985" s="11">
        <v>32655</v>
      </c>
      <c r="I2985" s="4" t="s">
        <v>366</v>
      </c>
      <c r="J2985" s="4" t="s">
        <v>367</v>
      </c>
      <c r="K2985" s="11">
        <v>0</v>
      </c>
      <c r="L2985" s="4"/>
      <c r="M2985" s="4"/>
      <c r="N2985" s="11">
        <v>0</v>
      </c>
      <c r="O2985" s="4"/>
      <c r="P2985" s="4"/>
      <c r="Q2985" s="11">
        <v>0</v>
      </c>
      <c r="R2985" s="4"/>
      <c r="S2985" s="12"/>
    </row>
    <row r="2986" spans="1:19" x14ac:dyDescent="0.25">
      <c r="A2986" s="9" t="s">
        <v>1038</v>
      </c>
      <c r="B2986" s="9" t="s">
        <v>291</v>
      </c>
      <c r="C2986" s="4">
        <v>201002423</v>
      </c>
      <c r="D2986" s="4"/>
      <c r="E2986" s="4" t="str">
        <f>"048162010"</f>
        <v>048162010</v>
      </c>
      <c r="F2986" s="10">
        <v>40254</v>
      </c>
      <c r="G2986" s="11">
        <v>5405.55</v>
      </c>
      <c r="H2986" s="11">
        <v>5405.55</v>
      </c>
      <c r="I2986" s="4" t="s">
        <v>366</v>
      </c>
      <c r="J2986" s="4" t="s">
        <v>367</v>
      </c>
      <c r="K2986" s="11">
        <v>0</v>
      </c>
      <c r="L2986" s="4"/>
      <c r="M2986" s="4"/>
      <c r="N2986" s="11">
        <v>0</v>
      </c>
      <c r="O2986" s="4"/>
      <c r="P2986" s="4"/>
      <c r="Q2986" s="11">
        <v>0</v>
      </c>
      <c r="R2986" s="4"/>
      <c r="S2986" s="12"/>
    </row>
    <row r="2987" spans="1:19" x14ac:dyDescent="0.25">
      <c r="A2987" s="9" t="s">
        <v>1038</v>
      </c>
      <c r="B2987" s="9" t="s">
        <v>291</v>
      </c>
      <c r="C2987" s="4">
        <v>201002471</v>
      </c>
      <c r="D2987" s="4" t="s">
        <v>2479</v>
      </c>
      <c r="E2987" s="4" t="str">
        <f>"049402010"</f>
        <v>049402010</v>
      </c>
      <c r="F2987" s="10">
        <v>40260</v>
      </c>
      <c r="G2987" s="11">
        <v>13500</v>
      </c>
      <c r="H2987" s="11">
        <v>13500</v>
      </c>
      <c r="I2987" s="4" t="s">
        <v>366</v>
      </c>
      <c r="J2987" s="4" t="s">
        <v>367</v>
      </c>
      <c r="K2987" s="11">
        <v>0</v>
      </c>
      <c r="L2987" s="4"/>
      <c r="M2987" s="4"/>
      <c r="N2987" s="11">
        <v>0</v>
      </c>
      <c r="O2987" s="4"/>
      <c r="P2987" s="4"/>
      <c r="Q2987" s="11">
        <v>0</v>
      </c>
      <c r="R2987" s="4"/>
      <c r="S2987" s="12"/>
    </row>
    <row r="2988" spans="1:19" x14ac:dyDescent="0.25">
      <c r="A2988" s="9" t="s">
        <v>1038</v>
      </c>
      <c r="B2988" s="9" t="s">
        <v>1038</v>
      </c>
      <c r="C2988" s="4">
        <v>201002585</v>
      </c>
      <c r="D2988" s="4" t="s">
        <v>1754</v>
      </c>
      <c r="E2988" s="4" t="str">
        <f>"064512010"</f>
        <v>064512010</v>
      </c>
      <c r="F2988" s="10">
        <v>40302</v>
      </c>
      <c r="G2988" s="11">
        <v>9056.26</v>
      </c>
      <c r="H2988" s="11">
        <v>9056.26</v>
      </c>
      <c r="I2988" s="4" t="s">
        <v>366</v>
      </c>
      <c r="J2988" s="4" t="s">
        <v>367</v>
      </c>
      <c r="K2988" s="11">
        <v>0</v>
      </c>
      <c r="L2988" s="4"/>
      <c r="M2988" s="4"/>
      <c r="N2988" s="11">
        <v>0</v>
      </c>
      <c r="O2988" s="4"/>
      <c r="P2988" s="4"/>
      <c r="Q2988" s="11">
        <v>0</v>
      </c>
      <c r="R2988" s="4"/>
      <c r="S2988" s="12"/>
    </row>
    <row r="2989" spans="1:19" x14ac:dyDescent="0.25">
      <c r="A2989" s="9" t="s">
        <v>1038</v>
      </c>
      <c r="B2989" s="9" t="s">
        <v>1038</v>
      </c>
      <c r="C2989" s="4">
        <v>201002757</v>
      </c>
      <c r="D2989" s="4"/>
      <c r="E2989" s="4" t="str">
        <f>"053982010"</f>
        <v>053982010</v>
      </c>
      <c r="F2989" s="10">
        <v>40270</v>
      </c>
      <c r="G2989" s="11">
        <v>3500</v>
      </c>
      <c r="H2989" s="11">
        <v>3500</v>
      </c>
      <c r="I2989" s="4" t="s">
        <v>366</v>
      </c>
      <c r="J2989" s="4" t="s">
        <v>367</v>
      </c>
      <c r="K2989" s="11">
        <v>0</v>
      </c>
      <c r="L2989" s="4"/>
      <c r="M2989" s="4"/>
      <c r="N2989" s="11">
        <v>0</v>
      </c>
      <c r="O2989" s="4"/>
      <c r="P2989" s="4"/>
      <c r="Q2989" s="11">
        <v>0</v>
      </c>
      <c r="R2989" s="4"/>
      <c r="S2989" s="12"/>
    </row>
    <row r="2990" spans="1:19" x14ac:dyDescent="0.25">
      <c r="A2990" s="9" t="s">
        <v>1038</v>
      </c>
      <c r="B2990" s="9" t="s">
        <v>1038</v>
      </c>
      <c r="C2990" s="4">
        <v>201002775</v>
      </c>
      <c r="D2990" s="4"/>
      <c r="E2990" s="4" t="str">
        <f>"054222010"</f>
        <v>054222010</v>
      </c>
      <c r="F2990" s="10">
        <v>40270</v>
      </c>
      <c r="G2990" s="11">
        <v>2870.64</v>
      </c>
      <c r="H2990" s="11">
        <v>2870.64</v>
      </c>
      <c r="I2990" s="4" t="s">
        <v>366</v>
      </c>
      <c r="J2990" s="4" t="s">
        <v>367</v>
      </c>
      <c r="K2990" s="11">
        <v>0</v>
      </c>
      <c r="L2990" s="4"/>
      <c r="M2990" s="4"/>
      <c r="N2990" s="11">
        <v>0</v>
      </c>
      <c r="O2990" s="4"/>
      <c r="P2990" s="4"/>
      <c r="Q2990" s="11">
        <v>0</v>
      </c>
      <c r="R2990" s="4"/>
      <c r="S2990" s="12"/>
    </row>
    <row r="2991" spans="1:19" x14ac:dyDescent="0.25">
      <c r="A2991" s="9" t="s">
        <v>1038</v>
      </c>
      <c r="B2991" s="9" t="s">
        <v>291</v>
      </c>
      <c r="C2991" s="4">
        <v>201002852</v>
      </c>
      <c r="D2991" s="4"/>
      <c r="E2991" s="4" t="str">
        <f>"056392010"</f>
        <v>056392010</v>
      </c>
      <c r="F2991" s="10">
        <v>40281</v>
      </c>
      <c r="G2991" s="11">
        <v>3120.82</v>
      </c>
      <c r="H2991" s="11">
        <v>3120.82</v>
      </c>
      <c r="I2991" s="4" t="s">
        <v>366</v>
      </c>
      <c r="J2991" s="4" t="s">
        <v>367</v>
      </c>
      <c r="K2991" s="11">
        <v>0</v>
      </c>
      <c r="L2991" s="4"/>
      <c r="M2991" s="4"/>
      <c r="N2991" s="11">
        <v>0</v>
      </c>
      <c r="O2991" s="4"/>
      <c r="P2991" s="4"/>
      <c r="Q2991" s="11">
        <v>0</v>
      </c>
      <c r="R2991" s="4"/>
      <c r="S2991" s="12"/>
    </row>
    <row r="2992" spans="1:19" x14ac:dyDescent="0.25">
      <c r="A2992" s="9" t="s">
        <v>1038</v>
      </c>
      <c r="B2992" s="9" t="s">
        <v>1038</v>
      </c>
      <c r="C2992" s="4">
        <v>201002927</v>
      </c>
      <c r="D2992" s="4"/>
      <c r="E2992" s="4" t="str">
        <f>"057772010"</f>
        <v>057772010</v>
      </c>
      <c r="F2992" s="10">
        <v>40283</v>
      </c>
      <c r="G2992" s="11">
        <v>10762.79</v>
      </c>
      <c r="H2992" s="11">
        <v>10762.79</v>
      </c>
      <c r="I2992" s="4" t="s">
        <v>366</v>
      </c>
      <c r="J2992" s="4" t="s">
        <v>367</v>
      </c>
      <c r="K2992" s="11">
        <v>0</v>
      </c>
      <c r="L2992" s="4"/>
      <c r="M2992" s="4"/>
      <c r="N2992" s="11">
        <v>0</v>
      </c>
      <c r="O2992" s="4"/>
      <c r="P2992" s="4"/>
      <c r="Q2992" s="11">
        <v>0</v>
      </c>
      <c r="R2992" s="4"/>
      <c r="S2992" s="12"/>
    </row>
    <row r="2993" spans="1:19" x14ac:dyDescent="0.25">
      <c r="A2993" s="9" t="s">
        <v>1038</v>
      </c>
      <c r="B2993" s="9" t="s">
        <v>291</v>
      </c>
      <c r="C2993" s="4">
        <v>201002935</v>
      </c>
      <c r="D2993" s="4"/>
      <c r="E2993" s="4" t="str">
        <f>"058472010"</f>
        <v>058472010</v>
      </c>
      <c r="F2993" s="10">
        <v>40284</v>
      </c>
      <c r="G2993" s="11">
        <v>4000</v>
      </c>
      <c r="H2993" s="11">
        <v>4000</v>
      </c>
      <c r="I2993" s="4" t="s">
        <v>366</v>
      </c>
      <c r="J2993" s="4" t="s">
        <v>367</v>
      </c>
      <c r="K2993" s="11">
        <v>0</v>
      </c>
      <c r="L2993" s="4"/>
      <c r="M2993" s="4"/>
      <c r="N2993" s="11">
        <v>0</v>
      </c>
      <c r="O2993" s="4"/>
      <c r="P2993" s="4"/>
      <c r="Q2993" s="11">
        <v>0</v>
      </c>
      <c r="R2993" s="4"/>
      <c r="S2993" s="12"/>
    </row>
    <row r="2994" spans="1:19" x14ac:dyDescent="0.25">
      <c r="A2994" s="9" t="s">
        <v>1038</v>
      </c>
      <c r="B2994" s="9" t="s">
        <v>1038</v>
      </c>
      <c r="C2994" s="4">
        <v>201002986</v>
      </c>
      <c r="D2994" s="4"/>
      <c r="E2994" s="4" t="str">
        <f>"060362010"</f>
        <v>060362010</v>
      </c>
      <c r="F2994" s="10">
        <v>40290</v>
      </c>
      <c r="G2994" s="11">
        <v>2521.5300000000002</v>
      </c>
      <c r="H2994" s="11">
        <v>2521.5300000000002</v>
      </c>
      <c r="I2994" s="4" t="s">
        <v>366</v>
      </c>
      <c r="J2994" s="4" t="s">
        <v>367</v>
      </c>
      <c r="K2994" s="11">
        <v>0</v>
      </c>
      <c r="L2994" s="4"/>
      <c r="M2994" s="4"/>
      <c r="N2994" s="11">
        <v>0</v>
      </c>
      <c r="O2994" s="4"/>
      <c r="P2994" s="4"/>
      <c r="Q2994" s="11">
        <v>0</v>
      </c>
      <c r="R2994" s="4"/>
      <c r="S2994" s="12"/>
    </row>
    <row r="2995" spans="1:19" x14ac:dyDescent="0.25">
      <c r="A2995" s="9" t="s">
        <v>1038</v>
      </c>
      <c r="B2995" s="9" t="s">
        <v>291</v>
      </c>
      <c r="C2995" s="4">
        <v>201003768</v>
      </c>
      <c r="D2995" s="4"/>
      <c r="E2995" s="4" t="str">
        <f>"082792010"</f>
        <v>082792010</v>
      </c>
      <c r="F2995" s="10">
        <v>40354</v>
      </c>
      <c r="G2995" s="11">
        <v>2905.51</v>
      </c>
      <c r="H2995" s="11">
        <v>2905.51</v>
      </c>
      <c r="I2995" s="4" t="s">
        <v>54</v>
      </c>
      <c r="J2995" s="4" t="s">
        <v>55</v>
      </c>
      <c r="K2995" s="11">
        <v>0</v>
      </c>
      <c r="L2995" s="4"/>
      <c r="M2995" s="4"/>
      <c r="N2995" s="11">
        <v>0</v>
      </c>
      <c r="O2995" s="4"/>
      <c r="P2995" s="4"/>
      <c r="Q2995" s="11">
        <v>0</v>
      </c>
      <c r="R2995" s="4"/>
      <c r="S2995" s="12"/>
    </row>
    <row r="2996" spans="1:19" x14ac:dyDescent="0.25">
      <c r="A2996" s="9" t="s">
        <v>1038</v>
      </c>
      <c r="B2996" s="9" t="s">
        <v>291</v>
      </c>
      <c r="C2996" s="4">
        <v>201003966</v>
      </c>
      <c r="D2996" s="4" t="s">
        <v>2480</v>
      </c>
      <c r="E2996" s="4" t="str">
        <f>"078882010"</f>
        <v>078882010</v>
      </c>
      <c r="F2996" s="10">
        <v>40340</v>
      </c>
      <c r="G2996" s="11">
        <v>10000</v>
      </c>
      <c r="H2996" s="11">
        <v>10000</v>
      </c>
      <c r="I2996" s="4" t="s">
        <v>366</v>
      </c>
      <c r="J2996" s="4" t="s">
        <v>367</v>
      </c>
      <c r="K2996" s="11">
        <v>0</v>
      </c>
      <c r="L2996" s="4"/>
      <c r="M2996" s="4"/>
      <c r="N2996" s="11">
        <v>0</v>
      </c>
      <c r="O2996" s="4"/>
      <c r="P2996" s="4"/>
      <c r="Q2996" s="11">
        <v>0</v>
      </c>
      <c r="R2996" s="4"/>
      <c r="S2996" s="12"/>
    </row>
    <row r="2997" spans="1:19" x14ac:dyDescent="0.25">
      <c r="A2997" s="9" t="s">
        <v>1038</v>
      </c>
      <c r="B2997" s="9" t="s">
        <v>1038</v>
      </c>
      <c r="C2997" s="4">
        <v>201004043</v>
      </c>
      <c r="D2997" s="4"/>
      <c r="E2997" s="4" t="str">
        <f>"085362010"</f>
        <v>085362010</v>
      </c>
      <c r="F2997" s="10">
        <v>40357</v>
      </c>
      <c r="G2997" s="11">
        <v>2689.75</v>
      </c>
      <c r="H2997" s="11">
        <v>2689.75</v>
      </c>
      <c r="I2997" s="4" t="s">
        <v>366</v>
      </c>
      <c r="J2997" s="4" t="s">
        <v>367</v>
      </c>
      <c r="K2997" s="11">
        <v>0</v>
      </c>
      <c r="L2997" s="4"/>
      <c r="M2997" s="4"/>
      <c r="N2997" s="11">
        <v>0</v>
      </c>
      <c r="O2997" s="4"/>
      <c r="P2997" s="4"/>
      <c r="Q2997" s="11">
        <v>0</v>
      </c>
      <c r="R2997" s="4"/>
      <c r="S2997" s="12"/>
    </row>
    <row r="2998" spans="1:19" x14ac:dyDescent="0.25">
      <c r="A2998" s="9" t="s">
        <v>1038</v>
      </c>
      <c r="B2998" s="9" t="s">
        <v>1038</v>
      </c>
      <c r="C2998" s="4">
        <v>201004428</v>
      </c>
      <c r="D2998" s="4" t="s">
        <v>2481</v>
      </c>
      <c r="E2998" s="4" t="str">
        <f>"089862010"</f>
        <v>089862010</v>
      </c>
      <c r="F2998" s="10">
        <v>40367</v>
      </c>
      <c r="G2998" s="11">
        <v>273769.40000000002</v>
      </c>
      <c r="H2998" s="11">
        <v>273769.40000000002</v>
      </c>
      <c r="I2998" s="4" t="s">
        <v>366</v>
      </c>
      <c r="J2998" s="4" t="s">
        <v>367</v>
      </c>
      <c r="K2998" s="11">
        <v>0</v>
      </c>
      <c r="L2998" s="4"/>
      <c r="M2998" s="4"/>
      <c r="N2998" s="11">
        <v>0</v>
      </c>
      <c r="O2998" s="4"/>
      <c r="P2998" s="4"/>
      <c r="Q2998" s="11">
        <v>0</v>
      </c>
      <c r="R2998" s="4"/>
      <c r="S2998" s="12"/>
    </row>
    <row r="2999" spans="1:19" x14ac:dyDescent="0.25">
      <c r="A2999" s="9" t="s">
        <v>1038</v>
      </c>
      <c r="B2999" s="9" t="s">
        <v>1038</v>
      </c>
      <c r="C2999" s="4">
        <v>201004774</v>
      </c>
      <c r="D2999" s="4"/>
      <c r="E2999" s="4" t="str">
        <f>"096032010"</f>
        <v>096032010</v>
      </c>
      <c r="F2999" s="10">
        <v>40387</v>
      </c>
      <c r="G2999" s="11">
        <v>2887.14</v>
      </c>
      <c r="H2999" s="11">
        <v>2887.14</v>
      </c>
      <c r="I2999" s="4" t="s">
        <v>366</v>
      </c>
      <c r="J2999" s="4" t="s">
        <v>367</v>
      </c>
      <c r="K2999" s="11">
        <v>0</v>
      </c>
      <c r="L2999" s="4"/>
      <c r="M2999" s="4"/>
      <c r="N2999" s="11">
        <v>0</v>
      </c>
      <c r="O2999" s="4"/>
      <c r="P2999" s="4"/>
      <c r="Q2999" s="11">
        <v>0</v>
      </c>
      <c r="R2999" s="4"/>
      <c r="S2999" s="12"/>
    </row>
    <row r="3000" spans="1:19" x14ac:dyDescent="0.25">
      <c r="A3000" s="9" t="s">
        <v>1038</v>
      </c>
      <c r="B3000" s="9" t="s">
        <v>1038</v>
      </c>
      <c r="C3000" s="4">
        <v>201004844</v>
      </c>
      <c r="D3000" s="4"/>
      <c r="E3000" s="4" t="str">
        <f>"097132010"</f>
        <v>097132010</v>
      </c>
      <c r="F3000" s="10">
        <v>40394</v>
      </c>
      <c r="G3000" s="11">
        <v>2550.34</v>
      </c>
      <c r="H3000" s="11">
        <v>2550.34</v>
      </c>
      <c r="I3000" s="4" t="s">
        <v>366</v>
      </c>
      <c r="J3000" s="4" t="s">
        <v>367</v>
      </c>
      <c r="K3000" s="11">
        <v>0</v>
      </c>
      <c r="L3000" s="4"/>
      <c r="M3000" s="4"/>
      <c r="N3000" s="11">
        <v>0</v>
      </c>
      <c r="O3000" s="4"/>
      <c r="P3000" s="4"/>
      <c r="Q3000" s="11">
        <v>0</v>
      </c>
      <c r="R3000" s="4"/>
      <c r="S3000" s="12"/>
    </row>
    <row r="3001" spans="1:19" x14ac:dyDescent="0.25">
      <c r="A3001" s="9" t="s">
        <v>1038</v>
      </c>
      <c r="B3001" s="9" t="s">
        <v>1038</v>
      </c>
      <c r="C3001" s="4">
        <v>201004971</v>
      </c>
      <c r="D3001" s="4"/>
      <c r="E3001" s="4" t="str">
        <f>"099142010"</f>
        <v>099142010</v>
      </c>
      <c r="F3001" s="10">
        <v>40396</v>
      </c>
      <c r="G3001" s="11">
        <v>5853.9</v>
      </c>
      <c r="H3001" s="11">
        <v>5853.9</v>
      </c>
      <c r="I3001" s="4" t="s">
        <v>366</v>
      </c>
      <c r="J3001" s="4" t="s">
        <v>367</v>
      </c>
      <c r="K3001" s="11">
        <v>0</v>
      </c>
      <c r="L3001" s="4"/>
      <c r="M3001" s="4"/>
      <c r="N3001" s="11">
        <v>0</v>
      </c>
      <c r="O3001" s="4"/>
      <c r="P3001" s="4"/>
      <c r="Q3001" s="11">
        <v>0</v>
      </c>
      <c r="R3001" s="4"/>
      <c r="S3001" s="12"/>
    </row>
    <row r="3002" spans="1:19" x14ac:dyDescent="0.25">
      <c r="A3002" s="9" t="s">
        <v>1038</v>
      </c>
      <c r="B3002" s="9" t="s">
        <v>1038</v>
      </c>
      <c r="C3002" s="4">
        <v>201005011</v>
      </c>
      <c r="D3002" s="4" t="s">
        <v>2482</v>
      </c>
      <c r="E3002" s="4" t="str">
        <f>"101852010"</f>
        <v>101852010</v>
      </c>
      <c r="F3002" s="10">
        <v>40407</v>
      </c>
      <c r="G3002" s="11">
        <v>3955.17</v>
      </c>
      <c r="H3002" s="11">
        <v>3955.17</v>
      </c>
      <c r="I3002" s="4" t="s">
        <v>366</v>
      </c>
      <c r="J3002" s="4" t="s">
        <v>367</v>
      </c>
      <c r="K3002" s="11">
        <v>0</v>
      </c>
      <c r="L3002" s="4"/>
      <c r="M3002" s="4"/>
      <c r="N3002" s="11">
        <v>0</v>
      </c>
      <c r="O3002" s="4"/>
      <c r="P3002" s="4"/>
      <c r="Q3002" s="11">
        <v>0</v>
      </c>
      <c r="R3002" s="4"/>
      <c r="S3002" s="12"/>
    </row>
    <row r="3003" spans="1:19" x14ac:dyDescent="0.25">
      <c r="A3003" s="9" t="s">
        <v>1038</v>
      </c>
      <c r="B3003" s="9" t="s">
        <v>1038</v>
      </c>
      <c r="C3003" s="4">
        <v>201005137</v>
      </c>
      <c r="D3003" s="4"/>
      <c r="E3003" s="4" t="str">
        <f>"115522010"</f>
        <v>115522010</v>
      </c>
      <c r="F3003" s="10">
        <v>40450</v>
      </c>
      <c r="G3003" s="11">
        <v>2626.61</v>
      </c>
      <c r="H3003" s="11">
        <v>2626.61</v>
      </c>
      <c r="I3003" s="4" t="s">
        <v>366</v>
      </c>
      <c r="J3003" s="4" t="s">
        <v>367</v>
      </c>
      <c r="K3003" s="11">
        <v>0</v>
      </c>
      <c r="L3003" s="4"/>
      <c r="M3003" s="4"/>
      <c r="N3003" s="11">
        <v>0</v>
      </c>
      <c r="O3003" s="4"/>
      <c r="P3003" s="4"/>
      <c r="Q3003" s="11">
        <v>0</v>
      </c>
      <c r="R3003" s="4"/>
      <c r="S3003" s="12"/>
    </row>
    <row r="3004" spans="1:19" x14ac:dyDescent="0.25">
      <c r="A3004" s="9" t="s">
        <v>1038</v>
      </c>
      <c r="B3004" s="9" t="s">
        <v>291</v>
      </c>
      <c r="C3004" s="4">
        <v>201005390</v>
      </c>
      <c r="D3004" s="4"/>
      <c r="E3004" s="4" t="str">
        <f>"107082010"</f>
        <v>107082010</v>
      </c>
      <c r="F3004" s="10">
        <v>40420</v>
      </c>
      <c r="G3004" s="11">
        <v>3937.5</v>
      </c>
      <c r="H3004" s="11">
        <v>3937.5</v>
      </c>
      <c r="I3004" s="4" t="s">
        <v>366</v>
      </c>
      <c r="J3004" s="4" t="s">
        <v>367</v>
      </c>
      <c r="K3004" s="11">
        <v>0</v>
      </c>
      <c r="L3004" s="4"/>
      <c r="M3004" s="4"/>
      <c r="N3004" s="11">
        <v>0</v>
      </c>
      <c r="O3004" s="4"/>
      <c r="P3004" s="4"/>
      <c r="Q3004" s="11">
        <v>0</v>
      </c>
      <c r="R3004" s="4"/>
      <c r="S3004" s="12"/>
    </row>
    <row r="3005" spans="1:19" x14ac:dyDescent="0.25">
      <c r="A3005" s="9" t="s">
        <v>1038</v>
      </c>
      <c r="B3005" s="9" t="s">
        <v>291</v>
      </c>
      <c r="C3005" s="4">
        <v>201005630</v>
      </c>
      <c r="D3005" s="4"/>
      <c r="E3005" s="4" t="str">
        <f>"113382010"</f>
        <v>113382010</v>
      </c>
      <c r="F3005" s="10">
        <v>40445</v>
      </c>
      <c r="G3005" s="11">
        <v>3252.65</v>
      </c>
      <c r="H3005" s="11">
        <v>3252.65</v>
      </c>
      <c r="I3005" s="4" t="s">
        <v>366</v>
      </c>
      <c r="J3005" s="4" t="s">
        <v>367</v>
      </c>
      <c r="K3005" s="11">
        <v>0</v>
      </c>
      <c r="L3005" s="4"/>
      <c r="M3005" s="4"/>
      <c r="N3005" s="11">
        <v>0</v>
      </c>
      <c r="O3005" s="4"/>
      <c r="P3005" s="4"/>
      <c r="Q3005" s="11">
        <v>0</v>
      </c>
      <c r="R3005" s="4"/>
      <c r="S3005" s="12"/>
    </row>
    <row r="3006" spans="1:19" x14ac:dyDescent="0.25">
      <c r="A3006" s="9" t="s">
        <v>1038</v>
      </c>
      <c r="B3006" s="9" t="s">
        <v>291</v>
      </c>
      <c r="C3006" s="4">
        <v>201005698</v>
      </c>
      <c r="D3006" s="4"/>
      <c r="E3006" s="4" t="str">
        <f>"115452010"</f>
        <v>115452010</v>
      </c>
      <c r="F3006" s="10">
        <v>40450</v>
      </c>
      <c r="G3006" s="11">
        <v>2781.9</v>
      </c>
      <c r="H3006" s="11">
        <v>2781.9</v>
      </c>
      <c r="I3006" s="4" t="s">
        <v>366</v>
      </c>
      <c r="J3006" s="4" t="s">
        <v>367</v>
      </c>
      <c r="K3006" s="11">
        <v>0</v>
      </c>
      <c r="L3006" s="4"/>
      <c r="M3006" s="4"/>
      <c r="N3006" s="11">
        <v>0</v>
      </c>
      <c r="O3006" s="4"/>
      <c r="P3006" s="4"/>
      <c r="Q3006" s="11">
        <v>0</v>
      </c>
      <c r="R3006" s="4"/>
      <c r="S3006" s="12"/>
    </row>
    <row r="3007" spans="1:19" x14ac:dyDescent="0.25">
      <c r="A3007" s="9" t="s">
        <v>1050</v>
      </c>
      <c r="B3007" s="9" t="s">
        <v>356</v>
      </c>
      <c r="C3007" s="4">
        <v>200905905</v>
      </c>
      <c r="D3007" s="4"/>
      <c r="E3007" s="4" t="str">
        <f>"087582009"</f>
        <v>087582009</v>
      </c>
      <c r="F3007" s="10">
        <v>40092</v>
      </c>
      <c r="G3007" s="11">
        <v>3358.84</v>
      </c>
      <c r="H3007" s="11">
        <v>3358.84</v>
      </c>
      <c r="I3007" s="4" t="s">
        <v>366</v>
      </c>
      <c r="J3007" s="4" t="s">
        <v>367</v>
      </c>
      <c r="K3007" s="11">
        <v>0</v>
      </c>
      <c r="L3007" s="4"/>
      <c r="M3007" s="4"/>
      <c r="N3007" s="11">
        <v>0</v>
      </c>
      <c r="O3007" s="4"/>
      <c r="P3007" s="4"/>
      <c r="Q3007" s="11">
        <v>0</v>
      </c>
      <c r="R3007" s="4"/>
      <c r="S3007" s="12"/>
    </row>
    <row r="3008" spans="1:19" x14ac:dyDescent="0.25">
      <c r="A3008" s="9" t="s">
        <v>1050</v>
      </c>
      <c r="B3008" s="9" t="s">
        <v>356</v>
      </c>
      <c r="C3008" s="4">
        <v>201001216</v>
      </c>
      <c r="D3008" s="4" t="s">
        <v>2483</v>
      </c>
      <c r="E3008" s="4" t="str">
        <f>"023972010"</f>
        <v>023972010</v>
      </c>
      <c r="F3008" s="10">
        <v>40170</v>
      </c>
      <c r="G3008" s="11">
        <v>8071.73</v>
      </c>
      <c r="H3008" s="11">
        <v>8071.73</v>
      </c>
      <c r="I3008" s="4" t="s">
        <v>366</v>
      </c>
      <c r="J3008" s="4" t="s">
        <v>367</v>
      </c>
      <c r="K3008" s="11">
        <v>0</v>
      </c>
      <c r="L3008" s="4"/>
      <c r="M3008" s="4"/>
      <c r="N3008" s="11">
        <v>0</v>
      </c>
      <c r="O3008" s="4"/>
      <c r="P3008" s="4"/>
      <c r="Q3008" s="11">
        <v>0</v>
      </c>
      <c r="R3008" s="4"/>
      <c r="S3008" s="12"/>
    </row>
    <row r="3009" spans="1:19" x14ac:dyDescent="0.25">
      <c r="A3009" s="9" t="s">
        <v>1050</v>
      </c>
      <c r="B3009" s="9" t="s">
        <v>356</v>
      </c>
      <c r="C3009" s="4">
        <v>201003161</v>
      </c>
      <c r="D3009" s="4" t="s">
        <v>2484</v>
      </c>
      <c r="E3009" s="4" t="str">
        <f>"064002010"</f>
        <v>064002010</v>
      </c>
      <c r="F3009" s="10">
        <v>40302</v>
      </c>
      <c r="G3009" s="11">
        <v>3800</v>
      </c>
      <c r="H3009" s="11">
        <v>3800</v>
      </c>
      <c r="I3009" s="4" t="s">
        <v>366</v>
      </c>
      <c r="J3009" s="4" t="s">
        <v>367</v>
      </c>
      <c r="K3009" s="11">
        <v>0</v>
      </c>
      <c r="L3009" s="4"/>
      <c r="M3009" s="4"/>
      <c r="N3009" s="11">
        <v>0</v>
      </c>
      <c r="O3009" s="4"/>
      <c r="P3009" s="4"/>
      <c r="Q3009" s="11">
        <v>0</v>
      </c>
      <c r="R3009" s="4"/>
      <c r="S3009" s="12"/>
    </row>
    <row r="3010" spans="1:19" x14ac:dyDescent="0.25">
      <c r="A3010" s="9" t="s">
        <v>1050</v>
      </c>
      <c r="B3010" s="9" t="s">
        <v>356</v>
      </c>
      <c r="C3010" s="4">
        <v>201004567</v>
      </c>
      <c r="D3010" s="4"/>
      <c r="E3010" s="4" t="str">
        <f>"091442010"</f>
        <v>091442010</v>
      </c>
      <c r="F3010" s="10">
        <v>40368</v>
      </c>
      <c r="G3010" s="11">
        <v>5432.66</v>
      </c>
      <c r="H3010" s="11">
        <v>5432.66</v>
      </c>
      <c r="I3010" s="4" t="s">
        <v>366</v>
      </c>
      <c r="J3010" s="4" t="s">
        <v>367</v>
      </c>
      <c r="K3010" s="11">
        <v>0</v>
      </c>
      <c r="L3010" s="4"/>
      <c r="M3010" s="4"/>
      <c r="N3010" s="11">
        <v>0</v>
      </c>
      <c r="O3010" s="4"/>
      <c r="P3010" s="4"/>
      <c r="Q3010" s="11">
        <v>0</v>
      </c>
      <c r="R3010" s="4"/>
      <c r="S3010" s="12"/>
    </row>
    <row r="3011" spans="1:19" x14ac:dyDescent="0.25">
      <c r="A3011" s="9" t="s">
        <v>2485</v>
      </c>
      <c r="B3011" s="9" t="s">
        <v>2485</v>
      </c>
      <c r="C3011" s="4">
        <v>201002705</v>
      </c>
      <c r="D3011" s="4"/>
      <c r="E3011" s="4" t="str">
        <f>"054202010"</f>
        <v>054202010</v>
      </c>
      <c r="F3011" s="10">
        <v>40270</v>
      </c>
      <c r="G3011" s="11">
        <v>3500</v>
      </c>
      <c r="H3011" s="11">
        <v>3500</v>
      </c>
      <c r="I3011" s="4" t="s">
        <v>931</v>
      </c>
      <c r="J3011" s="4" t="s">
        <v>932</v>
      </c>
      <c r="K3011" s="11">
        <v>0</v>
      </c>
      <c r="L3011" s="4"/>
      <c r="M3011" s="4"/>
      <c r="N3011" s="11">
        <v>0</v>
      </c>
      <c r="O3011" s="4"/>
      <c r="P3011" s="4"/>
      <c r="Q3011" s="11">
        <v>0</v>
      </c>
      <c r="R3011" s="4"/>
      <c r="S3011" s="12"/>
    </row>
    <row r="3012" spans="1:19" x14ac:dyDescent="0.25">
      <c r="A3012" s="9" t="s">
        <v>2486</v>
      </c>
      <c r="B3012" s="9" t="s">
        <v>291</v>
      </c>
      <c r="C3012" s="4">
        <v>201000693</v>
      </c>
      <c r="D3012" s="4" t="s">
        <v>2487</v>
      </c>
      <c r="E3012" s="4" t="str">
        <f>"014962010"</f>
        <v>014962010</v>
      </c>
      <c r="F3012" s="10">
        <v>40142</v>
      </c>
      <c r="G3012" s="11">
        <v>215000</v>
      </c>
      <c r="H3012" s="11">
        <v>215000</v>
      </c>
      <c r="I3012" s="4" t="s">
        <v>366</v>
      </c>
      <c r="J3012" s="4" t="s">
        <v>367</v>
      </c>
      <c r="K3012" s="11">
        <v>0</v>
      </c>
      <c r="L3012" s="4"/>
      <c r="M3012" s="4"/>
      <c r="N3012" s="11">
        <v>0</v>
      </c>
      <c r="O3012" s="4"/>
      <c r="P3012" s="4"/>
      <c r="Q3012" s="11">
        <v>0</v>
      </c>
      <c r="R3012" s="4"/>
      <c r="S3012" s="12"/>
    </row>
    <row r="3013" spans="1:19" x14ac:dyDescent="0.25">
      <c r="A3013" s="9" t="s">
        <v>2486</v>
      </c>
      <c r="B3013" s="9" t="s">
        <v>291</v>
      </c>
      <c r="C3013" s="4">
        <v>201000693</v>
      </c>
      <c r="D3013" s="4" t="s">
        <v>2487</v>
      </c>
      <c r="E3013" s="4" t="str">
        <f>"014982010"</f>
        <v>014982010</v>
      </c>
      <c r="F3013" s="10">
        <v>40142</v>
      </c>
      <c r="G3013" s="11">
        <v>10186.5</v>
      </c>
      <c r="H3013" s="11">
        <v>10186.5</v>
      </c>
      <c r="I3013" s="4" t="s">
        <v>366</v>
      </c>
      <c r="J3013" s="4" t="s">
        <v>367</v>
      </c>
      <c r="K3013" s="11">
        <v>0</v>
      </c>
      <c r="L3013" s="4"/>
      <c r="M3013" s="4"/>
      <c r="N3013" s="11">
        <v>0</v>
      </c>
      <c r="O3013" s="4"/>
      <c r="P3013" s="4"/>
      <c r="Q3013" s="11">
        <v>0</v>
      </c>
      <c r="R3013" s="4"/>
      <c r="S3013" s="12"/>
    </row>
    <row r="3014" spans="1:19" x14ac:dyDescent="0.25">
      <c r="A3014" s="9" t="s">
        <v>2486</v>
      </c>
      <c r="B3014" s="9" t="s">
        <v>291</v>
      </c>
      <c r="C3014" s="4">
        <v>201000693</v>
      </c>
      <c r="D3014" s="4" t="s">
        <v>2487</v>
      </c>
      <c r="E3014" s="4" t="str">
        <f>"015002010"</f>
        <v>015002010</v>
      </c>
      <c r="F3014" s="10">
        <v>40142</v>
      </c>
      <c r="G3014" s="11">
        <v>8994.69</v>
      </c>
      <c r="H3014" s="11">
        <v>8994.69</v>
      </c>
      <c r="I3014" s="4" t="s">
        <v>366</v>
      </c>
      <c r="J3014" s="4" t="s">
        <v>367</v>
      </c>
      <c r="K3014" s="11">
        <v>0</v>
      </c>
      <c r="L3014" s="4"/>
      <c r="M3014" s="4"/>
      <c r="N3014" s="11">
        <v>0</v>
      </c>
      <c r="O3014" s="4"/>
      <c r="P3014" s="4"/>
      <c r="Q3014" s="11">
        <v>0</v>
      </c>
      <c r="R3014" s="4"/>
      <c r="S3014" s="12"/>
    </row>
    <row r="3015" spans="1:19" x14ac:dyDescent="0.25">
      <c r="A3015" s="9" t="s">
        <v>2486</v>
      </c>
      <c r="B3015" s="9" t="s">
        <v>291</v>
      </c>
      <c r="C3015" s="4">
        <v>201000693</v>
      </c>
      <c r="D3015" s="4" t="s">
        <v>2487</v>
      </c>
      <c r="E3015" s="4" t="str">
        <f>"015022010"</f>
        <v>015022010</v>
      </c>
      <c r="F3015" s="10">
        <v>40142</v>
      </c>
      <c r="G3015" s="11">
        <v>1893.4</v>
      </c>
      <c r="H3015" s="11">
        <v>1893.4</v>
      </c>
      <c r="I3015" s="4" t="s">
        <v>366</v>
      </c>
      <c r="J3015" s="4" t="s">
        <v>367</v>
      </c>
      <c r="K3015" s="11">
        <v>0</v>
      </c>
      <c r="L3015" s="4"/>
      <c r="M3015" s="4"/>
      <c r="N3015" s="11">
        <v>0</v>
      </c>
      <c r="O3015" s="4"/>
      <c r="P3015" s="4"/>
      <c r="Q3015" s="11">
        <v>0</v>
      </c>
      <c r="R3015" s="4"/>
      <c r="S3015" s="12"/>
    </row>
    <row r="3016" spans="1:19" x14ac:dyDescent="0.25">
      <c r="A3016" s="9" t="s">
        <v>1065</v>
      </c>
      <c r="B3016" s="9" t="s">
        <v>1065</v>
      </c>
      <c r="C3016" s="4">
        <v>201005427</v>
      </c>
      <c r="D3016" s="4"/>
      <c r="E3016" s="4" t="str">
        <f>"107532010"</f>
        <v>107532010</v>
      </c>
      <c r="F3016" s="10">
        <v>40423</v>
      </c>
      <c r="G3016" s="11">
        <v>3789.03</v>
      </c>
      <c r="H3016" s="11">
        <v>3789.03</v>
      </c>
      <c r="I3016" s="4" t="s">
        <v>54</v>
      </c>
      <c r="J3016" s="4" t="s">
        <v>55</v>
      </c>
      <c r="K3016" s="11">
        <v>0</v>
      </c>
      <c r="L3016" s="4"/>
      <c r="M3016" s="4"/>
      <c r="N3016" s="11">
        <v>0</v>
      </c>
      <c r="O3016" s="4"/>
      <c r="P3016" s="4"/>
      <c r="Q3016" s="11">
        <v>0</v>
      </c>
      <c r="R3016" s="4"/>
      <c r="S3016" s="12"/>
    </row>
    <row r="3017" spans="1:19" x14ac:dyDescent="0.25">
      <c r="A3017" s="9" t="s">
        <v>2488</v>
      </c>
      <c r="B3017" s="9" t="s">
        <v>2488</v>
      </c>
      <c r="C3017" s="4">
        <v>201000624</v>
      </c>
      <c r="D3017" s="4" t="s">
        <v>2489</v>
      </c>
      <c r="E3017" s="4" t="str">
        <f>"011652010"</f>
        <v>011652010</v>
      </c>
      <c r="F3017" s="10">
        <v>40133</v>
      </c>
      <c r="G3017" s="11">
        <v>9500</v>
      </c>
      <c r="H3017" s="11">
        <v>9500</v>
      </c>
      <c r="I3017" s="4" t="s">
        <v>366</v>
      </c>
      <c r="J3017" s="4" t="s">
        <v>367</v>
      </c>
      <c r="K3017" s="11">
        <v>0</v>
      </c>
      <c r="L3017" s="4"/>
      <c r="M3017" s="4"/>
      <c r="N3017" s="11">
        <v>0</v>
      </c>
      <c r="O3017" s="4"/>
      <c r="P3017" s="4"/>
      <c r="Q3017" s="11">
        <v>0</v>
      </c>
      <c r="R3017" s="4"/>
      <c r="S3017" s="12"/>
    </row>
    <row r="3018" spans="1:19" x14ac:dyDescent="0.25">
      <c r="A3018" s="9" t="s">
        <v>2490</v>
      </c>
      <c r="B3018" s="9" t="s">
        <v>2490</v>
      </c>
      <c r="C3018" s="4">
        <v>201003481</v>
      </c>
      <c r="D3018" s="4"/>
      <c r="E3018" s="4" t="str">
        <f>"069202010"</f>
        <v>069202010</v>
      </c>
      <c r="F3018" s="10">
        <v>40316</v>
      </c>
      <c r="G3018" s="11">
        <v>2772.34</v>
      </c>
      <c r="H3018" s="11">
        <v>2772.34</v>
      </c>
      <c r="I3018" s="4" t="s">
        <v>366</v>
      </c>
      <c r="J3018" s="4" t="s">
        <v>367</v>
      </c>
      <c r="K3018" s="11">
        <v>0</v>
      </c>
      <c r="L3018" s="4"/>
      <c r="M3018" s="4"/>
      <c r="N3018" s="11">
        <v>0</v>
      </c>
      <c r="O3018" s="4"/>
      <c r="P3018" s="4"/>
      <c r="Q3018" s="11">
        <v>0</v>
      </c>
      <c r="R3018" s="4"/>
      <c r="S3018" s="12"/>
    </row>
    <row r="3019" spans="1:19" x14ac:dyDescent="0.25">
      <c r="A3019" s="9" t="s">
        <v>2490</v>
      </c>
      <c r="B3019" s="9" t="s">
        <v>233</v>
      </c>
      <c r="C3019" s="4">
        <v>201003620</v>
      </c>
      <c r="D3019" s="4"/>
      <c r="E3019" s="4" t="str">
        <f>"072332010"</f>
        <v>072332010</v>
      </c>
      <c r="F3019" s="10">
        <v>40324</v>
      </c>
      <c r="G3019" s="11">
        <v>5462</v>
      </c>
      <c r="H3019" s="11">
        <v>5462</v>
      </c>
      <c r="I3019" s="4" t="s">
        <v>366</v>
      </c>
      <c r="J3019" s="4" t="s">
        <v>367</v>
      </c>
      <c r="K3019" s="11">
        <v>0</v>
      </c>
      <c r="L3019" s="4"/>
      <c r="M3019" s="4"/>
      <c r="N3019" s="11">
        <v>0</v>
      </c>
      <c r="O3019" s="4"/>
      <c r="P3019" s="4"/>
      <c r="Q3019" s="11">
        <v>0</v>
      </c>
      <c r="R3019" s="4"/>
      <c r="S3019" s="12"/>
    </row>
    <row r="3020" spans="1:19" x14ac:dyDescent="0.25">
      <c r="A3020" s="9" t="s">
        <v>2490</v>
      </c>
      <c r="B3020" s="9" t="s">
        <v>2490</v>
      </c>
      <c r="C3020" s="4">
        <v>201004274</v>
      </c>
      <c r="D3020" s="4"/>
      <c r="E3020" s="4" t="str">
        <f>"084562010"</f>
        <v>084562010</v>
      </c>
      <c r="F3020" s="10">
        <v>40357</v>
      </c>
      <c r="G3020" s="11">
        <v>11780.59</v>
      </c>
      <c r="H3020" s="11">
        <v>11780.59</v>
      </c>
      <c r="I3020" s="4" t="s">
        <v>366</v>
      </c>
      <c r="J3020" s="4" t="s">
        <v>367</v>
      </c>
      <c r="K3020" s="11">
        <v>0</v>
      </c>
      <c r="L3020" s="4"/>
      <c r="M3020" s="4"/>
      <c r="N3020" s="11">
        <v>0</v>
      </c>
      <c r="O3020" s="4"/>
      <c r="P3020" s="4"/>
      <c r="Q3020" s="11">
        <v>0</v>
      </c>
      <c r="R3020" s="4"/>
      <c r="S3020" s="12"/>
    </row>
    <row r="3021" spans="1:19" x14ac:dyDescent="0.25">
      <c r="A3021" s="9" t="s">
        <v>1070</v>
      </c>
      <c r="B3021" s="9" t="s">
        <v>552</v>
      </c>
      <c r="C3021" s="4">
        <v>200902713</v>
      </c>
      <c r="D3021" s="4"/>
      <c r="E3021" s="4" t="str">
        <f>"088542009"</f>
        <v>088542009</v>
      </c>
      <c r="F3021" s="10">
        <v>40245</v>
      </c>
      <c r="G3021" s="11">
        <v>2848.67</v>
      </c>
      <c r="H3021" s="11">
        <v>2848.67</v>
      </c>
      <c r="I3021" s="4" t="s">
        <v>366</v>
      </c>
      <c r="J3021" s="4" t="s">
        <v>367</v>
      </c>
      <c r="K3021" s="11">
        <v>0</v>
      </c>
      <c r="L3021" s="4"/>
      <c r="M3021" s="4"/>
      <c r="N3021" s="11">
        <v>0</v>
      </c>
      <c r="O3021" s="4"/>
      <c r="P3021" s="4"/>
      <c r="Q3021" s="11">
        <v>0</v>
      </c>
      <c r="R3021" s="4"/>
      <c r="S3021" s="12"/>
    </row>
    <row r="3022" spans="1:19" x14ac:dyDescent="0.25">
      <c r="A3022" s="9" t="s">
        <v>1070</v>
      </c>
      <c r="B3022" s="9" t="s">
        <v>1070</v>
      </c>
      <c r="C3022" s="4">
        <v>201000223</v>
      </c>
      <c r="D3022" s="4"/>
      <c r="E3022" s="4" t="str">
        <f>"004472010"</f>
        <v>004472010</v>
      </c>
      <c r="F3022" s="10">
        <v>40107</v>
      </c>
      <c r="G3022" s="11">
        <v>2863.62</v>
      </c>
      <c r="H3022" s="11">
        <v>2863.62</v>
      </c>
      <c r="I3022" s="4" t="s">
        <v>54</v>
      </c>
      <c r="J3022" s="4" t="s">
        <v>55</v>
      </c>
      <c r="K3022" s="11">
        <v>0</v>
      </c>
      <c r="L3022" s="4"/>
      <c r="M3022" s="4"/>
      <c r="N3022" s="11">
        <v>0</v>
      </c>
      <c r="O3022" s="4"/>
      <c r="P3022" s="4"/>
      <c r="Q3022" s="11">
        <v>0</v>
      </c>
      <c r="R3022" s="4"/>
      <c r="S3022" s="12"/>
    </row>
    <row r="3023" spans="1:19" x14ac:dyDescent="0.25">
      <c r="A3023" s="9" t="s">
        <v>1070</v>
      </c>
      <c r="B3023" s="9" t="s">
        <v>1070</v>
      </c>
      <c r="C3023" s="4">
        <v>201000225</v>
      </c>
      <c r="D3023" s="4"/>
      <c r="E3023" s="4" t="str">
        <f>"004592010"</f>
        <v>004592010</v>
      </c>
      <c r="F3023" s="10">
        <v>40106</v>
      </c>
      <c r="G3023" s="11">
        <v>4000</v>
      </c>
      <c r="H3023" s="11">
        <v>4000</v>
      </c>
      <c r="I3023" s="4" t="s">
        <v>366</v>
      </c>
      <c r="J3023" s="4" t="s">
        <v>367</v>
      </c>
      <c r="K3023" s="11">
        <v>0</v>
      </c>
      <c r="L3023" s="4"/>
      <c r="M3023" s="4"/>
      <c r="N3023" s="11">
        <v>0</v>
      </c>
      <c r="O3023" s="4"/>
      <c r="P3023" s="4"/>
      <c r="Q3023" s="11">
        <v>0</v>
      </c>
      <c r="R3023" s="4"/>
      <c r="S3023" s="12"/>
    </row>
    <row r="3024" spans="1:19" x14ac:dyDescent="0.25">
      <c r="A3024" s="9" t="s">
        <v>1070</v>
      </c>
      <c r="B3024" s="9" t="s">
        <v>1070</v>
      </c>
      <c r="C3024" s="4">
        <v>201000532</v>
      </c>
      <c r="D3024" s="4"/>
      <c r="E3024" s="4" t="str">
        <f>"009892010"</f>
        <v>009892010</v>
      </c>
      <c r="F3024" s="10">
        <v>40123</v>
      </c>
      <c r="G3024" s="11">
        <v>7536.06</v>
      </c>
      <c r="H3024" s="11">
        <v>7536.06</v>
      </c>
      <c r="I3024" s="4" t="s">
        <v>366</v>
      </c>
      <c r="J3024" s="4" t="s">
        <v>367</v>
      </c>
      <c r="K3024" s="11">
        <v>0</v>
      </c>
      <c r="L3024" s="4"/>
      <c r="M3024" s="4"/>
      <c r="N3024" s="11">
        <v>0</v>
      </c>
      <c r="O3024" s="4"/>
      <c r="P3024" s="4"/>
      <c r="Q3024" s="11">
        <v>0</v>
      </c>
      <c r="R3024" s="4"/>
      <c r="S3024" s="12"/>
    </row>
    <row r="3025" spans="1:19" x14ac:dyDescent="0.25">
      <c r="A3025" s="9" t="s">
        <v>1070</v>
      </c>
      <c r="B3025" s="9" t="s">
        <v>1070</v>
      </c>
      <c r="C3025" s="4">
        <v>201000563</v>
      </c>
      <c r="D3025" s="4"/>
      <c r="E3025" s="4" t="str">
        <f>"010932010"</f>
        <v>010932010</v>
      </c>
      <c r="F3025" s="10">
        <v>40129</v>
      </c>
      <c r="G3025" s="11">
        <v>3754.45</v>
      </c>
      <c r="H3025" s="11">
        <v>3754.45</v>
      </c>
      <c r="I3025" s="4" t="s">
        <v>366</v>
      </c>
      <c r="J3025" s="4" t="s">
        <v>367</v>
      </c>
      <c r="K3025" s="11">
        <v>0</v>
      </c>
      <c r="L3025" s="4"/>
      <c r="M3025" s="4"/>
      <c r="N3025" s="11">
        <v>0</v>
      </c>
      <c r="O3025" s="4"/>
      <c r="P3025" s="4"/>
      <c r="Q3025" s="11">
        <v>0</v>
      </c>
      <c r="R3025" s="4"/>
      <c r="S3025" s="12"/>
    </row>
    <row r="3026" spans="1:19" x14ac:dyDescent="0.25">
      <c r="A3026" s="9" t="s">
        <v>1070</v>
      </c>
      <c r="B3026" s="9" t="s">
        <v>1070</v>
      </c>
      <c r="C3026" s="4">
        <v>201000620</v>
      </c>
      <c r="D3026" s="4"/>
      <c r="E3026" s="4" t="str">
        <f>"012492010"</f>
        <v>012492010</v>
      </c>
      <c r="F3026" s="10">
        <v>40134</v>
      </c>
      <c r="G3026" s="11">
        <v>6070.29</v>
      </c>
      <c r="H3026" s="11">
        <v>6070.29</v>
      </c>
      <c r="I3026" s="4" t="s">
        <v>366</v>
      </c>
      <c r="J3026" s="4" t="s">
        <v>367</v>
      </c>
      <c r="K3026" s="11">
        <v>0</v>
      </c>
      <c r="L3026" s="4"/>
      <c r="M3026" s="4"/>
      <c r="N3026" s="11">
        <v>0</v>
      </c>
      <c r="O3026" s="4"/>
      <c r="P3026" s="4"/>
      <c r="Q3026" s="11">
        <v>0</v>
      </c>
      <c r="R3026" s="4"/>
      <c r="S3026" s="12"/>
    </row>
    <row r="3027" spans="1:19" x14ac:dyDescent="0.25">
      <c r="A3027" s="9" t="s">
        <v>1070</v>
      </c>
      <c r="B3027" s="9" t="s">
        <v>1070</v>
      </c>
      <c r="C3027" s="4">
        <v>201000801</v>
      </c>
      <c r="D3027" s="4"/>
      <c r="E3027" s="4" t="str">
        <f>"014862010"</f>
        <v>014862010</v>
      </c>
      <c r="F3027" s="10">
        <v>40142</v>
      </c>
      <c r="G3027" s="11">
        <v>6838.72</v>
      </c>
      <c r="H3027" s="11">
        <v>6838.72</v>
      </c>
      <c r="I3027" s="4" t="s">
        <v>1752</v>
      </c>
      <c r="J3027" s="4" t="s">
        <v>1753</v>
      </c>
      <c r="K3027" s="11">
        <v>0</v>
      </c>
      <c r="L3027" s="4"/>
      <c r="M3027" s="4"/>
      <c r="N3027" s="11">
        <v>0</v>
      </c>
      <c r="O3027" s="4"/>
      <c r="P3027" s="4"/>
      <c r="Q3027" s="11">
        <v>0</v>
      </c>
      <c r="R3027" s="4"/>
      <c r="S3027" s="12"/>
    </row>
    <row r="3028" spans="1:19" x14ac:dyDescent="0.25">
      <c r="A3028" s="9" t="s">
        <v>1070</v>
      </c>
      <c r="B3028" s="9" t="s">
        <v>1070</v>
      </c>
      <c r="C3028" s="4">
        <v>201000862</v>
      </c>
      <c r="D3028" s="4"/>
      <c r="E3028" s="4" t="str">
        <f>"016592010"</f>
        <v>016592010</v>
      </c>
      <c r="F3028" s="10">
        <v>40150</v>
      </c>
      <c r="G3028" s="11">
        <v>2651.55</v>
      </c>
      <c r="H3028" s="11">
        <v>2651.55</v>
      </c>
      <c r="I3028" s="4" t="s">
        <v>366</v>
      </c>
      <c r="J3028" s="4" t="s">
        <v>367</v>
      </c>
      <c r="K3028" s="11">
        <v>0</v>
      </c>
      <c r="L3028" s="4"/>
      <c r="M3028" s="4"/>
      <c r="N3028" s="11">
        <v>0</v>
      </c>
      <c r="O3028" s="4"/>
      <c r="P3028" s="4"/>
      <c r="Q3028" s="11">
        <v>0</v>
      </c>
      <c r="R3028" s="4"/>
      <c r="S3028" s="12"/>
    </row>
    <row r="3029" spans="1:19" x14ac:dyDescent="0.25">
      <c r="A3029" s="9" t="s">
        <v>1070</v>
      </c>
      <c r="B3029" s="9" t="s">
        <v>1070</v>
      </c>
      <c r="C3029" s="4">
        <v>201000917</v>
      </c>
      <c r="D3029" s="4"/>
      <c r="E3029" s="4" t="str">
        <f>"017322010"</f>
        <v>017322010</v>
      </c>
      <c r="F3029" s="10">
        <v>40150</v>
      </c>
      <c r="G3029" s="11">
        <v>16688.91</v>
      </c>
      <c r="H3029" s="11">
        <v>16688.91</v>
      </c>
      <c r="I3029" s="4" t="s">
        <v>366</v>
      </c>
      <c r="J3029" s="4" t="s">
        <v>367</v>
      </c>
      <c r="K3029" s="11">
        <v>0</v>
      </c>
      <c r="L3029" s="4"/>
      <c r="M3029" s="4"/>
      <c r="N3029" s="11">
        <v>0</v>
      </c>
      <c r="O3029" s="4"/>
      <c r="P3029" s="4"/>
      <c r="Q3029" s="11">
        <v>0</v>
      </c>
      <c r="R3029" s="4"/>
      <c r="S3029" s="12"/>
    </row>
    <row r="3030" spans="1:19" x14ac:dyDescent="0.25">
      <c r="A3030" s="9" t="s">
        <v>1070</v>
      </c>
      <c r="B3030" s="9" t="s">
        <v>552</v>
      </c>
      <c r="C3030" s="4">
        <v>201000921</v>
      </c>
      <c r="D3030" s="4"/>
      <c r="E3030" s="4" t="str">
        <f>"017522010"</f>
        <v>017522010</v>
      </c>
      <c r="F3030" s="10">
        <v>40150</v>
      </c>
      <c r="G3030" s="11">
        <v>9801.2000000000007</v>
      </c>
      <c r="H3030" s="11">
        <v>9801.2000000000007</v>
      </c>
      <c r="I3030" s="4" t="s">
        <v>54</v>
      </c>
      <c r="J3030" s="4" t="s">
        <v>55</v>
      </c>
      <c r="K3030" s="11">
        <v>0</v>
      </c>
      <c r="L3030" s="4"/>
      <c r="M3030" s="4"/>
      <c r="N3030" s="11">
        <v>0</v>
      </c>
      <c r="O3030" s="4"/>
      <c r="P3030" s="4"/>
      <c r="Q3030" s="11">
        <v>0</v>
      </c>
      <c r="R3030" s="4"/>
      <c r="S3030" s="12"/>
    </row>
    <row r="3031" spans="1:19" x14ac:dyDescent="0.25">
      <c r="A3031" s="9" t="s">
        <v>1070</v>
      </c>
      <c r="B3031" s="9" t="s">
        <v>1070</v>
      </c>
      <c r="C3031" s="4">
        <v>201001090</v>
      </c>
      <c r="D3031" s="4"/>
      <c r="E3031" s="4" t="str">
        <f>"021102010"</f>
        <v>021102010</v>
      </c>
      <c r="F3031" s="10">
        <v>40158</v>
      </c>
      <c r="G3031" s="11">
        <v>17580.14</v>
      </c>
      <c r="H3031" s="11">
        <v>17580.14</v>
      </c>
      <c r="I3031" s="4" t="s">
        <v>366</v>
      </c>
      <c r="J3031" s="4" t="s">
        <v>367</v>
      </c>
      <c r="K3031" s="11">
        <v>0</v>
      </c>
      <c r="L3031" s="4"/>
      <c r="M3031" s="4"/>
      <c r="N3031" s="11">
        <v>0</v>
      </c>
      <c r="O3031" s="4"/>
      <c r="P3031" s="4"/>
      <c r="Q3031" s="11">
        <v>0</v>
      </c>
      <c r="R3031" s="4"/>
      <c r="S3031" s="12"/>
    </row>
    <row r="3032" spans="1:19" x14ac:dyDescent="0.25">
      <c r="A3032" s="9" t="s">
        <v>1070</v>
      </c>
      <c r="B3032" s="9" t="s">
        <v>1070</v>
      </c>
      <c r="C3032" s="4">
        <v>201001097</v>
      </c>
      <c r="D3032" s="4"/>
      <c r="E3032" s="4" t="str">
        <f>"021082010"</f>
        <v>021082010</v>
      </c>
      <c r="F3032" s="10">
        <v>40158</v>
      </c>
      <c r="G3032" s="11">
        <v>2655.28</v>
      </c>
      <c r="H3032" s="11">
        <v>2655.28</v>
      </c>
      <c r="I3032" s="4" t="s">
        <v>366</v>
      </c>
      <c r="J3032" s="4" t="s">
        <v>367</v>
      </c>
      <c r="K3032" s="11">
        <v>0</v>
      </c>
      <c r="L3032" s="4"/>
      <c r="M3032" s="4"/>
      <c r="N3032" s="11">
        <v>0</v>
      </c>
      <c r="O3032" s="4"/>
      <c r="P3032" s="4"/>
      <c r="Q3032" s="11">
        <v>0</v>
      </c>
      <c r="R3032" s="4"/>
      <c r="S3032" s="12"/>
    </row>
    <row r="3033" spans="1:19" x14ac:dyDescent="0.25">
      <c r="A3033" s="9" t="s">
        <v>1070</v>
      </c>
      <c r="B3033" s="9" t="s">
        <v>1070</v>
      </c>
      <c r="C3033" s="4">
        <v>201001100</v>
      </c>
      <c r="D3033" s="4"/>
      <c r="E3033" s="4" t="str">
        <f>"021652010"</f>
        <v>021652010</v>
      </c>
      <c r="F3033" s="10">
        <v>40161</v>
      </c>
      <c r="G3033" s="11">
        <v>6817.78</v>
      </c>
      <c r="H3033" s="11">
        <v>6817.78</v>
      </c>
      <c r="I3033" s="4" t="s">
        <v>366</v>
      </c>
      <c r="J3033" s="4" t="s">
        <v>367</v>
      </c>
      <c r="K3033" s="11">
        <v>0</v>
      </c>
      <c r="L3033" s="4"/>
      <c r="M3033" s="4"/>
      <c r="N3033" s="11">
        <v>0</v>
      </c>
      <c r="O3033" s="4"/>
      <c r="P3033" s="4"/>
      <c r="Q3033" s="11">
        <v>0</v>
      </c>
      <c r="R3033" s="4"/>
      <c r="S3033" s="12"/>
    </row>
    <row r="3034" spans="1:19" x14ac:dyDescent="0.25">
      <c r="A3034" s="9" t="s">
        <v>1070</v>
      </c>
      <c r="B3034" s="9" t="s">
        <v>1070</v>
      </c>
      <c r="C3034" s="4">
        <v>201001138</v>
      </c>
      <c r="D3034" s="4"/>
      <c r="E3034" s="4" t="str">
        <f>"021992010"</f>
        <v>021992010</v>
      </c>
      <c r="F3034" s="10">
        <v>40164</v>
      </c>
      <c r="G3034" s="11">
        <v>6000</v>
      </c>
      <c r="H3034" s="11">
        <v>6000</v>
      </c>
      <c r="I3034" s="4" t="s">
        <v>54</v>
      </c>
      <c r="J3034" s="4" t="s">
        <v>55</v>
      </c>
      <c r="K3034" s="11">
        <v>0</v>
      </c>
      <c r="L3034" s="4"/>
      <c r="M3034" s="4"/>
      <c r="N3034" s="11">
        <v>0</v>
      </c>
      <c r="O3034" s="4"/>
      <c r="P3034" s="4"/>
      <c r="Q3034" s="11">
        <v>0</v>
      </c>
      <c r="R3034" s="4"/>
      <c r="S3034" s="12"/>
    </row>
    <row r="3035" spans="1:19" x14ac:dyDescent="0.25">
      <c r="A3035" s="9" t="s">
        <v>1070</v>
      </c>
      <c r="B3035" s="9" t="s">
        <v>552</v>
      </c>
      <c r="C3035" s="4">
        <v>201001144</v>
      </c>
      <c r="D3035" s="4"/>
      <c r="E3035" s="4" t="str">
        <f>"027412010"</f>
        <v>027412010</v>
      </c>
      <c r="F3035" s="10">
        <v>40185</v>
      </c>
      <c r="G3035" s="11">
        <v>25000</v>
      </c>
      <c r="H3035" s="11">
        <v>25000</v>
      </c>
      <c r="I3035" s="4" t="s">
        <v>366</v>
      </c>
      <c r="J3035" s="4" t="s">
        <v>367</v>
      </c>
      <c r="K3035" s="11">
        <v>0</v>
      </c>
      <c r="L3035" s="4"/>
      <c r="M3035" s="4"/>
      <c r="N3035" s="11">
        <v>0</v>
      </c>
      <c r="O3035" s="4"/>
      <c r="P3035" s="4"/>
      <c r="Q3035" s="11">
        <v>0</v>
      </c>
      <c r="R3035" s="4"/>
      <c r="S3035" s="12"/>
    </row>
    <row r="3036" spans="1:19" x14ac:dyDescent="0.25">
      <c r="A3036" s="9" t="s">
        <v>1070</v>
      </c>
      <c r="B3036" s="9" t="s">
        <v>552</v>
      </c>
      <c r="C3036" s="4">
        <v>201001147</v>
      </c>
      <c r="D3036" s="4"/>
      <c r="E3036" s="4" t="str">
        <f>"029852010"</f>
        <v>029852010</v>
      </c>
      <c r="F3036" s="10">
        <v>40192</v>
      </c>
      <c r="G3036" s="11">
        <v>11691.6</v>
      </c>
      <c r="H3036" s="11">
        <v>11691.6</v>
      </c>
      <c r="I3036" s="4" t="s">
        <v>366</v>
      </c>
      <c r="J3036" s="4" t="s">
        <v>367</v>
      </c>
      <c r="K3036" s="11">
        <v>0</v>
      </c>
      <c r="L3036" s="4"/>
      <c r="M3036" s="4"/>
      <c r="N3036" s="11">
        <v>0</v>
      </c>
      <c r="O3036" s="4"/>
      <c r="P3036" s="4"/>
      <c r="Q3036" s="11">
        <v>0</v>
      </c>
      <c r="R3036" s="4"/>
      <c r="S3036" s="12"/>
    </row>
    <row r="3037" spans="1:19" x14ac:dyDescent="0.25">
      <c r="A3037" s="9" t="s">
        <v>1070</v>
      </c>
      <c r="B3037" s="9" t="s">
        <v>552</v>
      </c>
      <c r="C3037" s="4">
        <v>201001184</v>
      </c>
      <c r="D3037" s="4" t="s">
        <v>2491</v>
      </c>
      <c r="E3037" s="4" t="str">
        <f>"023472010"</f>
        <v>023472010</v>
      </c>
      <c r="F3037" s="10">
        <v>40165</v>
      </c>
      <c r="G3037" s="11">
        <v>65000</v>
      </c>
      <c r="H3037" s="11">
        <v>65000</v>
      </c>
      <c r="I3037" s="4" t="s">
        <v>931</v>
      </c>
      <c r="J3037" s="4" t="s">
        <v>932</v>
      </c>
      <c r="K3037" s="11">
        <v>0</v>
      </c>
      <c r="L3037" s="4"/>
      <c r="M3037" s="4"/>
      <c r="N3037" s="11">
        <v>0</v>
      </c>
      <c r="O3037" s="4"/>
      <c r="P3037" s="4"/>
      <c r="Q3037" s="11">
        <v>0</v>
      </c>
      <c r="R3037" s="4"/>
      <c r="S3037" s="12"/>
    </row>
    <row r="3038" spans="1:19" x14ac:dyDescent="0.25">
      <c r="A3038" s="9" t="s">
        <v>1070</v>
      </c>
      <c r="B3038" s="9" t="s">
        <v>552</v>
      </c>
      <c r="C3038" s="4">
        <v>201001224</v>
      </c>
      <c r="D3038" s="4"/>
      <c r="E3038" s="4" t="str">
        <f>"029262010"</f>
        <v>029262010</v>
      </c>
      <c r="F3038" s="10">
        <v>40192</v>
      </c>
      <c r="G3038" s="11">
        <v>3374.97</v>
      </c>
      <c r="H3038" s="11">
        <v>3374.97</v>
      </c>
      <c r="I3038" s="4" t="s">
        <v>366</v>
      </c>
      <c r="J3038" s="4" t="s">
        <v>367</v>
      </c>
      <c r="K3038" s="11">
        <v>0</v>
      </c>
      <c r="L3038" s="4"/>
      <c r="M3038" s="4"/>
      <c r="N3038" s="11">
        <v>0</v>
      </c>
      <c r="O3038" s="4"/>
      <c r="P3038" s="4"/>
      <c r="Q3038" s="11">
        <v>0</v>
      </c>
      <c r="R3038" s="4"/>
      <c r="S3038" s="12"/>
    </row>
    <row r="3039" spans="1:19" x14ac:dyDescent="0.25">
      <c r="A3039" s="9" t="s">
        <v>1070</v>
      </c>
      <c r="B3039" s="9" t="s">
        <v>1070</v>
      </c>
      <c r="C3039" s="4">
        <v>201001268</v>
      </c>
      <c r="D3039" s="4"/>
      <c r="E3039" s="4" t="str">
        <f>"028082010"</f>
        <v>028082010</v>
      </c>
      <c r="F3039" s="10">
        <v>40186</v>
      </c>
      <c r="G3039" s="11">
        <v>7482.05</v>
      </c>
      <c r="H3039" s="11">
        <v>7482.05</v>
      </c>
      <c r="I3039" s="4" t="s">
        <v>366</v>
      </c>
      <c r="J3039" s="4" t="s">
        <v>367</v>
      </c>
      <c r="K3039" s="11">
        <v>0</v>
      </c>
      <c r="L3039" s="4"/>
      <c r="M3039" s="4"/>
      <c r="N3039" s="11">
        <v>0</v>
      </c>
      <c r="O3039" s="4"/>
      <c r="P3039" s="4"/>
      <c r="Q3039" s="11">
        <v>0</v>
      </c>
      <c r="R3039" s="4"/>
      <c r="S3039" s="12"/>
    </row>
    <row r="3040" spans="1:19" x14ac:dyDescent="0.25">
      <c r="A3040" s="9" t="s">
        <v>1070</v>
      </c>
      <c r="B3040" s="9" t="s">
        <v>1070</v>
      </c>
      <c r="C3040" s="4">
        <v>201001283</v>
      </c>
      <c r="D3040" s="4" t="s">
        <v>2492</v>
      </c>
      <c r="E3040" s="4" t="str">
        <f>"025192010"</f>
        <v>025192010</v>
      </c>
      <c r="F3040" s="10">
        <v>40177</v>
      </c>
      <c r="G3040" s="11">
        <v>20919.5</v>
      </c>
      <c r="H3040" s="11">
        <v>20919.5</v>
      </c>
      <c r="I3040" s="4" t="s">
        <v>366</v>
      </c>
      <c r="J3040" s="4" t="s">
        <v>367</v>
      </c>
      <c r="K3040" s="11">
        <v>0</v>
      </c>
      <c r="L3040" s="4"/>
      <c r="M3040" s="4"/>
      <c r="N3040" s="11">
        <v>0</v>
      </c>
      <c r="O3040" s="4"/>
      <c r="P3040" s="4"/>
      <c r="Q3040" s="11">
        <v>0</v>
      </c>
      <c r="R3040" s="4"/>
      <c r="S3040" s="12"/>
    </row>
    <row r="3041" spans="1:19" x14ac:dyDescent="0.25">
      <c r="A3041" s="9" t="s">
        <v>1070</v>
      </c>
      <c r="B3041" s="9" t="s">
        <v>552</v>
      </c>
      <c r="C3041" s="4">
        <v>201001286</v>
      </c>
      <c r="D3041" s="4"/>
      <c r="E3041" s="4" t="str">
        <f>"025092010"</f>
        <v>025092010</v>
      </c>
      <c r="F3041" s="10">
        <v>40177</v>
      </c>
      <c r="G3041" s="11">
        <v>2690.39</v>
      </c>
      <c r="H3041" s="11">
        <v>2690.39</v>
      </c>
      <c r="I3041" s="4" t="s">
        <v>366</v>
      </c>
      <c r="J3041" s="4" t="s">
        <v>367</v>
      </c>
      <c r="K3041" s="11">
        <v>0</v>
      </c>
      <c r="L3041" s="4"/>
      <c r="M3041" s="4"/>
      <c r="N3041" s="11">
        <v>0</v>
      </c>
      <c r="O3041" s="4"/>
      <c r="P3041" s="4"/>
      <c r="Q3041" s="11">
        <v>0</v>
      </c>
      <c r="R3041" s="4"/>
      <c r="S3041" s="12"/>
    </row>
    <row r="3042" spans="1:19" x14ac:dyDescent="0.25">
      <c r="A3042" s="9" t="s">
        <v>1070</v>
      </c>
      <c r="B3042" s="9" t="s">
        <v>552</v>
      </c>
      <c r="C3042" s="4">
        <v>201002153</v>
      </c>
      <c r="D3042" s="4"/>
      <c r="E3042" s="4" t="str">
        <f>"042232010"</f>
        <v>042232010</v>
      </c>
      <c r="F3042" s="10">
        <v>40241</v>
      </c>
      <c r="G3042" s="11">
        <v>2542.7399999999998</v>
      </c>
      <c r="H3042" s="11">
        <v>2542.7399999999998</v>
      </c>
      <c r="I3042" s="4" t="s">
        <v>366</v>
      </c>
      <c r="J3042" s="4" t="s">
        <v>367</v>
      </c>
      <c r="K3042" s="11">
        <v>0</v>
      </c>
      <c r="L3042" s="4"/>
      <c r="M3042" s="4"/>
      <c r="N3042" s="11">
        <v>0</v>
      </c>
      <c r="O3042" s="4"/>
      <c r="P3042" s="4"/>
      <c r="Q3042" s="11">
        <v>0</v>
      </c>
      <c r="R3042" s="4"/>
      <c r="S3042" s="12"/>
    </row>
    <row r="3043" spans="1:19" x14ac:dyDescent="0.25">
      <c r="A3043" s="9" t="s">
        <v>1070</v>
      </c>
      <c r="B3043" s="9" t="s">
        <v>1070</v>
      </c>
      <c r="C3043" s="4">
        <v>201002407</v>
      </c>
      <c r="D3043" s="4"/>
      <c r="E3043" s="4" t="str">
        <f>"049422010"</f>
        <v>049422010</v>
      </c>
      <c r="F3043" s="10">
        <v>40260</v>
      </c>
      <c r="G3043" s="11">
        <v>7094.77</v>
      </c>
      <c r="H3043" s="11">
        <v>7094.77</v>
      </c>
      <c r="I3043" s="4" t="s">
        <v>366</v>
      </c>
      <c r="J3043" s="4" t="s">
        <v>367</v>
      </c>
      <c r="K3043" s="11">
        <v>0</v>
      </c>
      <c r="L3043" s="4"/>
      <c r="M3043" s="4"/>
      <c r="N3043" s="11">
        <v>0</v>
      </c>
      <c r="O3043" s="4"/>
      <c r="P3043" s="4"/>
      <c r="Q3043" s="11">
        <v>0</v>
      </c>
      <c r="R3043" s="4"/>
      <c r="S3043" s="12"/>
    </row>
    <row r="3044" spans="1:19" x14ac:dyDescent="0.25">
      <c r="A3044" s="9" t="s">
        <v>1070</v>
      </c>
      <c r="B3044" s="9" t="s">
        <v>1070</v>
      </c>
      <c r="C3044" s="4">
        <v>201002408</v>
      </c>
      <c r="D3044" s="4"/>
      <c r="E3044" s="4" t="str">
        <f>"049102010"</f>
        <v>049102010</v>
      </c>
      <c r="F3044" s="10">
        <v>40259</v>
      </c>
      <c r="G3044" s="11">
        <v>8118.61</v>
      </c>
      <c r="H3044" s="11">
        <v>8118.61</v>
      </c>
      <c r="I3044" s="4" t="s">
        <v>366</v>
      </c>
      <c r="J3044" s="4" t="s">
        <v>367</v>
      </c>
      <c r="K3044" s="11">
        <v>0</v>
      </c>
      <c r="L3044" s="4"/>
      <c r="M3044" s="4"/>
      <c r="N3044" s="11">
        <v>0</v>
      </c>
      <c r="O3044" s="4"/>
      <c r="P3044" s="4"/>
      <c r="Q3044" s="11">
        <v>0</v>
      </c>
      <c r="R3044" s="4"/>
      <c r="S3044" s="12"/>
    </row>
    <row r="3045" spans="1:19" x14ac:dyDescent="0.25">
      <c r="A3045" s="9" t="s">
        <v>1070</v>
      </c>
      <c r="B3045" s="9" t="s">
        <v>1070</v>
      </c>
      <c r="C3045" s="4">
        <v>201002492</v>
      </c>
      <c r="D3045" s="4" t="s">
        <v>2493</v>
      </c>
      <c r="E3045" s="4" t="str">
        <f>"049222010"</f>
        <v>049222010</v>
      </c>
      <c r="F3045" s="10">
        <v>40259</v>
      </c>
      <c r="G3045" s="11">
        <v>7040.81</v>
      </c>
      <c r="H3045" s="11">
        <v>7040.81</v>
      </c>
      <c r="I3045" s="4" t="s">
        <v>54</v>
      </c>
      <c r="J3045" s="4" t="s">
        <v>55</v>
      </c>
      <c r="K3045" s="11">
        <v>0</v>
      </c>
      <c r="L3045" s="4"/>
      <c r="M3045" s="4"/>
      <c r="N3045" s="11">
        <v>0</v>
      </c>
      <c r="O3045" s="4"/>
      <c r="P3045" s="4"/>
      <c r="Q3045" s="11">
        <v>0</v>
      </c>
      <c r="R3045" s="4"/>
      <c r="S3045" s="12"/>
    </row>
    <row r="3046" spans="1:19" x14ac:dyDescent="0.25">
      <c r="A3046" s="9" t="s">
        <v>1070</v>
      </c>
      <c r="B3046" s="9" t="s">
        <v>552</v>
      </c>
      <c r="C3046" s="4">
        <v>201002765</v>
      </c>
      <c r="D3046" s="4"/>
      <c r="E3046" s="4" t="str">
        <f>"054342010"</f>
        <v>054342010</v>
      </c>
      <c r="F3046" s="10">
        <v>40270</v>
      </c>
      <c r="G3046" s="11">
        <v>3810.18</v>
      </c>
      <c r="H3046" s="11">
        <v>3810.18</v>
      </c>
      <c r="I3046" s="4" t="s">
        <v>366</v>
      </c>
      <c r="J3046" s="4" t="s">
        <v>367</v>
      </c>
      <c r="K3046" s="11">
        <v>0</v>
      </c>
      <c r="L3046" s="4"/>
      <c r="M3046" s="4"/>
      <c r="N3046" s="11">
        <v>0</v>
      </c>
      <c r="O3046" s="4"/>
      <c r="P3046" s="4"/>
      <c r="Q3046" s="11">
        <v>0</v>
      </c>
      <c r="R3046" s="4"/>
      <c r="S3046" s="12"/>
    </row>
    <row r="3047" spans="1:19" x14ac:dyDescent="0.25">
      <c r="A3047" s="9" t="s">
        <v>1070</v>
      </c>
      <c r="B3047" s="9" t="s">
        <v>552</v>
      </c>
      <c r="C3047" s="4">
        <v>201002766</v>
      </c>
      <c r="D3047" s="4"/>
      <c r="E3047" s="4" t="str">
        <f>"057892010"</f>
        <v>057892010</v>
      </c>
      <c r="F3047" s="10">
        <v>40284</v>
      </c>
      <c r="G3047" s="11">
        <v>2735.57</v>
      </c>
      <c r="H3047" s="11">
        <v>2735.57</v>
      </c>
      <c r="I3047" s="4" t="s">
        <v>366</v>
      </c>
      <c r="J3047" s="4" t="s">
        <v>367</v>
      </c>
      <c r="K3047" s="11">
        <v>0</v>
      </c>
      <c r="L3047" s="4"/>
      <c r="M3047" s="4"/>
      <c r="N3047" s="11">
        <v>0</v>
      </c>
      <c r="O3047" s="4"/>
      <c r="P3047" s="4"/>
      <c r="Q3047" s="11">
        <v>0</v>
      </c>
      <c r="R3047" s="4"/>
      <c r="S3047" s="12"/>
    </row>
    <row r="3048" spans="1:19" x14ac:dyDescent="0.25">
      <c r="A3048" s="9" t="s">
        <v>1070</v>
      </c>
      <c r="B3048" s="9" t="s">
        <v>1070</v>
      </c>
      <c r="C3048" s="4">
        <v>201002768</v>
      </c>
      <c r="D3048" s="4"/>
      <c r="E3048" s="4" t="str">
        <f>"054802010"</f>
        <v>054802010</v>
      </c>
      <c r="F3048" s="10">
        <v>40281</v>
      </c>
      <c r="G3048" s="11">
        <v>5262.9</v>
      </c>
      <c r="H3048" s="11">
        <v>5262.9</v>
      </c>
      <c r="I3048" s="4" t="s">
        <v>366</v>
      </c>
      <c r="J3048" s="4" t="s">
        <v>367</v>
      </c>
      <c r="K3048" s="11">
        <v>0</v>
      </c>
      <c r="L3048" s="4"/>
      <c r="M3048" s="4"/>
      <c r="N3048" s="11">
        <v>0</v>
      </c>
      <c r="O3048" s="4"/>
      <c r="P3048" s="4"/>
      <c r="Q3048" s="11">
        <v>0</v>
      </c>
      <c r="R3048" s="4"/>
      <c r="S3048" s="12"/>
    </row>
    <row r="3049" spans="1:19" x14ac:dyDescent="0.25">
      <c r="A3049" s="9" t="s">
        <v>1070</v>
      </c>
      <c r="B3049" s="9" t="s">
        <v>1070</v>
      </c>
      <c r="C3049" s="4">
        <v>201002776</v>
      </c>
      <c r="D3049" s="4"/>
      <c r="E3049" s="4" t="str">
        <f>"054162010"</f>
        <v>054162010</v>
      </c>
      <c r="F3049" s="10">
        <v>40270</v>
      </c>
      <c r="G3049" s="11">
        <v>7500</v>
      </c>
      <c r="H3049" s="11">
        <v>7500</v>
      </c>
      <c r="I3049" s="4" t="s">
        <v>366</v>
      </c>
      <c r="J3049" s="4" t="s">
        <v>367</v>
      </c>
      <c r="K3049" s="11">
        <v>0</v>
      </c>
      <c r="L3049" s="4"/>
      <c r="M3049" s="4"/>
      <c r="N3049" s="11">
        <v>0</v>
      </c>
      <c r="O3049" s="4"/>
      <c r="P3049" s="4"/>
      <c r="Q3049" s="11">
        <v>0</v>
      </c>
      <c r="R3049" s="4"/>
      <c r="S3049" s="12"/>
    </row>
    <row r="3050" spans="1:19" x14ac:dyDescent="0.25">
      <c r="A3050" s="9" t="s">
        <v>1070</v>
      </c>
      <c r="B3050" s="9" t="s">
        <v>1070</v>
      </c>
      <c r="C3050" s="4">
        <v>201002824</v>
      </c>
      <c r="D3050" s="4"/>
      <c r="E3050" s="4" t="str">
        <f>"055752010"</f>
        <v>055752010</v>
      </c>
      <c r="F3050" s="10">
        <v>40273</v>
      </c>
      <c r="G3050" s="11">
        <v>2559.0100000000002</v>
      </c>
      <c r="H3050" s="11">
        <v>2559.0100000000002</v>
      </c>
      <c r="I3050" s="4" t="s">
        <v>366</v>
      </c>
      <c r="J3050" s="4" t="s">
        <v>367</v>
      </c>
      <c r="K3050" s="11">
        <v>0</v>
      </c>
      <c r="L3050" s="4"/>
      <c r="M3050" s="4"/>
      <c r="N3050" s="11">
        <v>0</v>
      </c>
      <c r="O3050" s="4"/>
      <c r="P3050" s="4"/>
      <c r="Q3050" s="11">
        <v>0</v>
      </c>
      <c r="R3050" s="4"/>
      <c r="S3050" s="12"/>
    </row>
    <row r="3051" spans="1:19" x14ac:dyDescent="0.25">
      <c r="A3051" s="9" t="s">
        <v>1070</v>
      </c>
      <c r="B3051" s="9" t="s">
        <v>1070</v>
      </c>
      <c r="C3051" s="4">
        <v>201002962</v>
      </c>
      <c r="D3051" s="4"/>
      <c r="E3051" s="4" t="str">
        <f>"063202010"</f>
        <v>063202010</v>
      </c>
      <c r="F3051" s="10">
        <v>40297</v>
      </c>
      <c r="G3051" s="11">
        <v>7049.06</v>
      </c>
      <c r="H3051" s="11">
        <v>7049.06</v>
      </c>
      <c r="I3051" s="4" t="s">
        <v>366</v>
      </c>
      <c r="J3051" s="4" t="s">
        <v>367</v>
      </c>
      <c r="K3051" s="11">
        <v>0</v>
      </c>
      <c r="L3051" s="4"/>
      <c r="M3051" s="4"/>
      <c r="N3051" s="11">
        <v>0</v>
      </c>
      <c r="O3051" s="4"/>
      <c r="P3051" s="4"/>
      <c r="Q3051" s="11">
        <v>0</v>
      </c>
      <c r="R3051" s="4"/>
      <c r="S3051" s="12"/>
    </row>
    <row r="3052" spans="1:19" x14ac:dyDescent="0.25">
      <c r="A3052" s="9" t="s">
        <v>1070</v>
      </c>
      <c r="B3052" s="9" t="s">
        <v>1070</v>
      </c>
      <c r="C3052" s="4">
        <v>201003120</v>
      </c>
      <c r="D3052" s="4"/>
      <c r="E3052" s="4" t="str">
        <f>"065742010"</f>
        <v>065742010</v>
      </c>
      <c r="F3052" s="10">
        <v>40304</v>
      </c>
      <c r="G3052" s="11">
        <v>2849.24</v>
      </c>
      <c r="H3052" s="11">
        <v>2849.24</v>
      </c>
      <c r="I3052" s="4" t="s">
        <v>54</v>
      </c>
      <c r="J3052" s="4" t="s">
        <v>55</v>
      </c>
      <c r="K3052" s="11">
        <v>0</v>
      </c>
      <c r="L3052" s="4"/>
      <c r="M3052" s="4"/>
      <c r="N3052" s="11">
        <v>0</v>
      </c>
      <c r="O3052" s="4"/>
      <c r="P3052" s="4"/>
      <c r="Q3052" s="11">
        <v>0</v>
      </c>
      <c r="R3052" s="4"/>
      <c r="S3052" s="12"/>
    </row>
    <row r="3053" spans="1:19" x14ac:dyDescent="0.25">
      <c r="A3053" s="9" t="s">
        <v>1070</v>
      </c>
      <c r="B3053" s="9" t="s">
        <v>552</v>
      </c>
      <c r="C3053" s="4">
        <v>201003125</v>
      </c>
      <c r="D3053" s="4" t="s">
        <v>2494</v>
      </c>
      <c r="E3053" s="4" t="str">
        <f>"062862010"</f>
        <v>062862010</v>
      </c>
      <c r="F3053" s="10">
        <v>40296</v>
      </c>
      <c r="G3053" s="11">
        <v>24900</v>
      </c>
      <c r="H3053" s="11">
        <v>24900</v>
      </c>
      <c r="I3053" s="4" t="s">
        <v>366</v>
      </c>
      <c r="J3053" s="4" t="s">
        <v>367</v>
      </c>
      <c r="K3053" s="11">
        <v>0</v>
      </c>
      <c r="L3053" s="4"/>
      <c r="M3053" s="4"/>
      <c r="N3053" s="11">
        <v>0</v>
      </c>
      <c r="O3053" s="4"/>
      <c r="P3053" s="4"/>
      <c r="Q3053" s="11">
        <v>0</v>
      </c>
      <c r="R3053" s="4"/>
      <c r="S3053" s="12"/>
    </row>
    <row r="3054" spans="1:19" x14ac:dyDescent="0.25">
      <c r="A3054" s="9" t="s">
        <v>1070</v>
      </c>
      <c r="B3054" s="9" t="s">
        <v>1070</v>
      </c>
      <c r="C3054" s="4">
        <v>201003140</v>
      </c>
      <c r="D3054" s="4"/>
      <c r="E3054" s="4" t="str">
        <f>"062442010"</f>
        <v>062442010</v>
      </c>
      <c r="F3054" s="10">
        <v>40296</v>
      </c>
      <c r="G3054" s="11">
        <v>3757.07</v>
      </c>
      <c r="H3054" s="11">
        <v>3757.07</v>
      </c>
      <c r="I3054" s="4" t="s">
        <v>366</v>
      </c>
      <c r="J3054" s="4" t="s">
        <v>367</v>
      </c>
      <c r="K3054" s="11">
        <v>0</v>
      </c>
      <c r="L3054" s="4"/>
      <c r="M3054" s="4"/>
      <c r="N3054" s="11">
        <v>0</v>
      </c>
      <c r="O3054" s="4"/>
      <c r="P3054" s="4"/>
      <c r="Q3054" s="11">
        <v>0</v>
      </c>
      <c r="R3054" s="4"/>
      <c r="S3054" s="12"/>
    </row>
    <row r="3055" spans="1:19" x14ac:dyDescent="0.25">
      <c r="A3055" s="9" t="s">
        <v>1070</v>
      </c>
      <c r="B3055" s="9" t="s">
        <v>552</v>
      </c>
      <c r="C3055" s="4">
        <v>201003175</v>
      </c>
      <c r="D3055" s="4"/>
      <c r="E3055" s="4" t="str">
        <f>"063662010"</f>
        <v>063662010</v>
      </c>
      <c r="F3055" s="10">
        <v>40298</v>
      </c>
      <c r="G3055" s="11">
        <v>4718.28</v>
      </c>
      <c r="H3055" s="11">
        <v>4718.28</v>
      </c>
      <c r="I3055" s="4" t="s">
        <v>366</v>
      </c>
      <c r="J3055" s="4" t="s">
        <v>367</v>
      </c>
      <c r="K3055" s="11">
        <v>0</v>
      </c>
      <c r="L3055" s="4"/>
      <c r="M3055" s="4"/>
      <c r="N3055" s="11">
        <v>0</v>
      </c>
      <c r="O3055" s="4"/>
      <c r="P3055" s="4"/>
      <c r="Q3055" s="11">
        <v>0</v>
      </c>
      <c r="R3055" s="4"/>
      <c r="S3055" s="12"/>
    </row>
    <row r="3056" spans="1:19" x14ac:dyDescent="0.25">
      <c r="A3056" s="9" t="s">
        <v>1070</v>
      </c>
      <c r="B3056" s="9" t="s">
        <v>552</v>
      </c>
      <c r="C3056" s="4">
        <v>201003178</v>
      </c>
      <c r="D3056" s="4"/>
      <c r="E3056" s="4" t="str">
        <f>"064302010"</f>
        <v>064302010</v>
      </c>
      <c r="F3056" s="10">
        <v>40302</v>
      </c>
      <c r="G3056" s="11">
        <v>3800</v>
      </c>
      <c r="H3056" s="11">
        <v>3800</v>
      </c>
      <c r="I3056" s="4" t="s">
        <v>366</v>
      </c>
      <c r="J3056" s="4" t="s">
        <v>367</v>
      </c>
      <c r="K3056" s="11">
        <v>0</v>
      </c>
      <c r="L3056" s="4"/>
      <c r="M3056" s="4"/>
      <c r="N3056" s="11">
        <v>0</v>
      </c>
      <c r="O3056" s="4"/>
      <c r="P3056" s="4"/>
      <c r="Q3056" s="11">
        <v>0</v>
      </c>
      <c r="R3056" s="4"/>
      <c r="S3056" s="12"/>
    </row>
    <row r="3057" spans="1:19" x14ac:dyDescent="0.25">
      <c r="A3057" s="9" t="s">
        <v>1070</v>
      </c>
      <c r="B3057" s="9" t="s">
        <v>552</v>
      </c>
      <c r="C3057" s="4">
        <v>201003226</v>
      </c>
      <c r="D3057" s="4" t="s">
        <v>2145</v>
      </c>
      <c r="E3057" s="4" t="str">
        <f>"065122010"</f>
        <v>065122010</v>
      </c>
      <c r="F3057" s="10">
        <v>40302</v>
      </c>
      <c r="G3057" s="11">
        <v>24000</v>
      </c>
      <c r="H3057" s="11">
        <v>24000</v>
      </c>
      <c r="I3057" s="4" t="s">
        <v>366</v>
      </c>
      <c r="J3057" s="4" t="s">
        <v>367</v>
      </c>
      <c r="K3057" s="11">
        <v>0</v>
      </c>
      <c r="L3057" s="4"/>
      <c r="M3057" s="4"/>
      <c r="N3057" s="11">
        <v>0</v>
      </c>
      <c r="O3057" s="4"/>
      <c r="P3057" s="4"/>
      <c r="Q3057" s="11">
        <v>0</v>
      </c>
      <c r="R3057" s="4"/>
      <c r="S3057" s="12"/>
    </row>
    <row r="3058" spans="1:19" x14ac:dyDescent="0.25">
      <c r="A3058" s="9" t="s">
        <v>1070</v>
      </c>
      <c r="B3058" s="9" t="s">
        <v>1070</v>
      </c>
      <c r="C3058" s="4">
        <v>201003404</v>
      </c>
      <c r="D3058" s="4"/>
      <c r="E3058" s="4" t="str">
        <f>"075882010"</f>
        <v>075882010</v>
      </c>
      <c r="F3058" s="10">
        <v>40333</v>
      </c>
      <c r="G3058" s="11">
        <v>3765</v>
      </c>
      <c r="H3058" s="11">
        <v>3765</v>
      </c>
      <c r="I3058" s="4" t="s">
        <v>366</v>
      </c>
      <c r="J3058" s="4" t="s">
        <v>367</v>
      </c>
      <c r="K3058" s="11">
        <v>0</v>
      </c>
      <c r="L3058" s="4"/>
      <c r="M3058" s="4"/>
      <c r="N3058" s="11">
        <v>0</v>
      </c>
      <c r="O3058" s="4"/>
      <c r="P3058" s="4"/>
      <c r="Q3058" s="11">
        <v>0</v>
      </c>
      <c r="R3058" s="4"/>
      <c r="S3058" s="12"/>
    </row>
    <row r="3059" spans="1:19" x14ac:dyDescent="0.25">
      <c r="A3059" s="9" t="s">
        <v>1070</v>
      </c>
      <c r="B3059" s="9" t="s">
        <v>552</v>
      </c>
      <c r="C3059" s="4">
        <v>201003451</v>
      </c>
      <c r="D3059" s="4"/>
      <c r="E3059" s="4" t="str">
        <f>"069402010"</f>
        <v>069402010</v>
      </c>
      <c r="F3059" s="10">
        <v>40316</v>
      </c>
      <c r="G3059" s="11">
        <v>12001.67</v>
      </c>
      <c r="H3059" s="11">
        <v>12001.67</v>
      </c>
      <c r="I3059" s="4" t="s">
        <v>366</v>
      </c>
      <c r="J3059" s="4" t="s">
        <v>367</v>
      </c>
      <c r="K3059" s="11">
        <v>0</v>
      </c>
      <c r="L3059" s="4"/>
      <c r="M3059" s="4"/>
      <c r="N3059" s="11">
        <v>0</v>
      </c>
      <c r="O3059" s="4"/>
      <c r="P3059" s="4"/>
      <c r="Q3059" s="11">
        <v>0</v>
      </c>
      <c r="R3059" s="4"/>
      <c r="S3059" s="12"/>
    </row>
    <row r="3060" spans="1:19" x14ac:dyDescent="0.25">
      <c r="A3060" s="9" t="s">
        <v>1070</v>
      </c>
      <c r="B3060" s="9" t="s">
        <v>552</v>
      </c>
      <c r="C3060" s="4">
        <v>201003602</v>
      </c>
      <c r="D3060" s="4"/>
      <c r="E3060" s="4" t="str">
        <f>"071552010"</f>
        <v>071552010</v>
      </c>
      <c r="F3060" s="10">
        <v>40324</v>
      </c>
      <c r="G3060" s="11">
        <v>6000</v>
      </c>
      <c r="H3060" s="11">
        <v>6000</v>
      </c>
      <c r="I3060" s="4" t="s">
        <v>366</v>
      </c>
      <c r="J3060" s="4" t="s">
        <v>367</v>
      </c>
      <c r="K3060" s="11">
        <v>0</v>
      </c>
      <c r="L3060" s="4"/>
      <c r="M3060" s="4"/>
      <c r="N3060" s="11">
        <v>0</v>
      </c>
      <c r="O3060" s="4"/>
      <c r="P3060" s="4"/>
      <c r="Q3060" s="11">
        <v>0</v>
      </c>
      <c r="R3060" s="4"/>
      <c r="S3060" s="12"/>
    </row>
    <row r="3061" spans="1:19" x14ac:dyDescent="0.25">
      <c r="A3061" s="9" t="s">
        <v>1070</v>
      </c>
      <c r="B3061" s="9" t="s">
        <v>552</v>
      </c>
      <c r="C3061" s="4">
        <v>201003636</v>
      </c>
      <c r="D3061" s="4" t="s">
        <v>2495</v>
      </c>
      <c r="E3061" s="4" t="str">
        <f>"072312010"</f>
        <v>072312010</v>
      </c>
      <c r="F3061" s="10">
        <v>40324</v>
      </c>
      <c r="G3061" s="11">
        <v>9000</v>
      </c>
      <c r="H3061" s="11">
        <v>9000</v>
      </c>
      <c r="I3061" s="4" t="s">
        <v>366</v>
      </c>
      <c r="J3061" s="4" t="s">
        <v>367</v>
      </c>
      <c r="K3061" s="11">
        <v>0</v>
      </c>
      <c r="L3061" s="4"/>
      <c r="M3061" s="4"/>
      <c r="N3061" s="11">
        <v>0</v>
      </c>
      <c r="O3061" s="4"/>
      <c r="P3061" s="4"/>
      <c r="Q3061" s="11">
        <v>0</v>
      </c>
      <c r="R3061" s="4"/>
      <c r="S3061" s="12"/>
    </row>
    <row r="3062" spans="1:19" x14ac:dyDescent="0.25">
      <c r="A3062" s="9" t="s">
        <v>1070</v>
      </c>
      <c r="B3062" s="9" t="s">
        <v>552</v>
      </c>
      <c r="C3062" s="4">
        <v>201003642</v>
      </c>
      <c r="D3062" s="4"/>
      <c r="E3062" s="4" t="str">
        <f>"072252010"</f>
        <v>072252010</v>
      </c>
      <c r="F3062" s="10">
        <v>40323</v>
      </c>
      <c r="G3062" s="11">
        <v>2605</v>
      </c>
      <c r="H3062" s="11">
        <v>2605</v>
      </c>
      <c r="I3062" s="4" t="s">
        <v>366</v>
      </c>
      <c r="J3062" s="4" t="s">
        <v>367</v>
      </c>
      <c r="K3062" s="11">
        <v>0</v>
      </c>
      <c r="L3062" s="4"/>
      <c r="M3062" s="4"/>
      <c r="N3062" s="11">
        <v>0</v>
      </c>
      <c r="O3062" s="4"/>
      <c r="P3062" s="4"/>
      <c r="Q3062" s="11">
        <v>0</v>
      </c>
      <c r="R3062" s="4"/>
      <c r="S3062" s="12"/>
    </row>
    <row r="3063" spans="1:19" x14ac:dyDescent="0.25">
      <c r="A3063" s="9" t="s">
        <v>1070</v>
      </c>
      <c r="B3063" s="9" t="s">
        <v>1070</v>
      </c>
      <c r="C3063" s="4">
        <v>201003743</v>
      </c>
      <c r="D3063" s="4"/>
      <c r="E3063" s="4" t="str">
        <f>"075342010"</f>
        <v>075342010</v>
      </c>
      <c r="F3063" s="10">
        <v>40332</v>
      </c>
      <c r="G3063" s="11">
        <v>3931.28</v>
      </c>
      <c r="H3063" s="11">
        <v>3931.28</v>
      </c>
      <c r="I3063" s="4" t="s">
        <v>931</v>
      </c>
      <c r="J3063" s="4" t="s">
        <v>932</v>
      </c>
      <c r="K3063" s="11">
        <v>0</v>
      </c>
      <c r="L3063" s="4"/>
      <c r="M3063" s="4"/>
      <c r="N3063" s="11">
        <v>0</v>
      </c>
      <c r="O3063" s="4"/>
      <c r="P3063" s="4"/>
      <c r="Q3063" s="11">
        <v>0</v>
      </c>
      <c r="R3063" s="4"/>
      <c r="S3063" s="12"/>
    </row>
    <row r="3064" spans="1:19" x14ac:dyDescent="0.25">
      <c r="A3064" s="9" t="s">
        <v>1070</v>
      </c>
      <c r="B3064" s="9" t="s">
        <v>1070</v>
      </c>
      <c r="C3064" s="4">
        <v>201003827</v>
      </c>
      <c r="D3064" s="4"/>
      <c r="E3064" s="4" t="str">
        <f>"075962010"</f>
        <v>075962010</v>
      </c>
      <c r="F3064" s="10">
        <v>40333</v>
      </c>
      <c r="G3064" s="11">
        <v>5983</v>
      </c>
      <c r="H3064" s="11">
        <v>5983</v>
      </c>
      <c r="I3064" s="4" t="s">
        <v>931</v>
      </c>
      <c r="J3064" s="4" t="s">
        <v>932</v>
      </c>
      <c r="K3064" s="11">
        <v>0</v>
      </c>
      <c r="L3064" s="4"/>
      <c r="M3064" s="4"/>
      <c r="N3064" s="11">
        <v>0</v>
      </c>
      <c r="O3064" s="4"/>
      <c r="P3064" s="4"/>
      <c r="Q3064" s="11">
        <v>0</v>
      </c>
      <c r="R3064" s="4"/>
      <c r="S3064" s="12"/>
    </row>
    <row r="3065" spans="1:19" x14ac:dyDescent="0.25">
      <c r="A3065" s="9" t="s">
        <v>1070</v>
      </c>
      <c r="B3065" s="9" t="s">
        <v>1070</v>
      </c>
      <c r="C3065" s="4">
        <v>201003828</v>
      </c>
      <c r="D3065" s="4"/>
      <c r="E3065" s="4" t="str">
        <f>"077242010"</f>
        <v>077242010</v>
      </c>
      <c r="F3065" s="10">
        <v>40338</v>
      </c>
      <c r="G3065" s="11">
        <v>3542.46</v>
      </c>
      <c r="H3065" s="11">
        <v>3542.46</v>
      </c>
      <c r="I3065" s="4" t="s">
        <v>54</v>
      </c>
      <c r="J3065" s="4" t="s">
        <v>55</v>
      </c>
      <c r="K3065" s="11">
        <v>0</v>
      </c>
      <c r="L3065" s="4"/>
      <c r="M3065" s="4"/>
      <c r="N3065" s="11">
        <v>0</v>
      </c>
      <c r="O3065" s="4"/>
      <c r="P3065" s="4"/>
      <c r="Q3065" s="11">
        <v>0</v>
      </c>
      <c r="R3065" s="4"/>
      <c r="S3065" s="12"/>
    </row>
    <row r="3066" spans="1:19" x14ac:dyDescent="0.25">
      <c r="A3066" s="9" t="s">
        <v>1070</v>
      </c>
      <c r="B3066" s="9" t="s">
        <v>1070</v>
      </c>
      <c r="C3066" s="4">
        <v>201003857</v>
      </c>
      <c r="D3066" s="4"/>
      <c r="E3066" s="4" t="str">
        <f>"079102010"</f>
        <v>079102010</v>
      </c>
      <c r="F3066" s="10">
        <v>40344</v>
      </c>
      <c r="G3066" s="11">
        <v>2851.79</v>
      </c>
      <c r="H3066" s="11">
        <v>2851.79</v>
      </c>
      <c r="I3066" s="4" t="s">
        <v>366</v>
      </c>
      <c r="J3066" s="4" t="s">
        <v>367</v>
      </c>
      <c r="K3066" s="11">
        <v>0</v>
      </c>
      <c r="L3066" s="4"/>
      <c r="M3066" s="4"/>
      <c r="N3066" s="11">
        <v>0</v>
      </c>
      <c r="O3066" s="4"/>
      <c r="P3066" s="4"/>
      <c r="Q3066" s="11">
        <v>0</v>
      </c>
      <c r="R3066" s="4"/>
      <c r="S3066" s="12"/>
    </row>
    <row r="3067" spans="1:19" x14ac:dyDescent="0.25">
      <c r="A3067" s="9" t="s">
        <v>1070</v>
      </c>
      <c r="B3067" s="9" t="s">
        <v>1070</v>
      </c>
      <c r="C3067" s="4">
        <v>201003895</v>
      </c>
      <c r="D3067" s="4"/>
      <c r="E3067" s="4" t="str">
        <f>"076962010"</f>
        <v>076962010</v>
      </c>
      <c r="F3067" s="10">
        <v>40337</v>
      </c>
      <c r="G3067" s="11">
        <v>5751.35</v>
      </c>
      <c r="H3067" s="11">
        <v>5751.35</v>
      </c>
      <c r="I3067" s="4" t="s">
        <v>54</v>
      </c>
      <c r="J3067" s="4" t="s">
        <v>55</v>
      </c>
      <c r="K3067" s="11">
        <v>0</v>
      </c>
      <c r="L3067" s="4"/>
      <c r="M3067" s="4"/>
      <c r="N3067" s="11">
        <v>0</v>
      </c>
      <c r="O3067" s="4"/>
      <c r="P3067" s="4"/>
      <c r="Q3067" s="11">
        <v>0</v>
      </c>
      <c r="R3067" s="4"/>
      <c r="S3067" s="12"/>
    </row>
    <row r="3068" spans="1:19" x14ac:dyDescent="0.25">
      <c r="A3068" s="9" t="s">
        <v>1070</v>
      </c>
      <c r="B3068" s="9" t="s">
        <v>552</v>
      </c>
      <c r="C3068" s="4">
        <v>201003995</v>
      </c>
      <c r="D3068" s="4"/>
      <c r="E3068" s="4" t="str">
        <f>"080002010"</f>
        <v>080002010</v>
      </c>
      <c r="F3068" s="10">
        <v>40346</v>
      </c>
      <c r="G3068" s="11">
        <v>4661.68</v>
      </c>
      <c r="H3068" s="11">
        <v>4661.68</v>
      </c>
      <c r="I3068" s="4" t="s">
        <v>54</v>
      </c>
      <c r="J3068" s="4" t="s">
        <v>55</v>
      </c>
      <c r="K3068" s="11">
        <v>0</v>
      </c>
      <c r="L3068" s="4"/>
      <c r="M3068" s="4"/>
      <c r="N3068" s="11">
        <v>0</v>
      </c>
      <c r="O3068" s="4"/>
      <c r="P3068" s="4"/>
      <c r="Q3068" s="11">
        <v>0</v>
      </c>
      <c r="R3068" s="4"/>
      <c r="S3068" s="12"/>
    </row>
    <row r="3069" spans="1:19" x14ac:dyDescent="0.25">
      <c r="A3069" s="9" t="s">
        <v>1070</v>
      </c>
      <c r="B3069" s="9" t="s">
        <v>291</v>
      </c>
      <c r="C3069" s="4">
        <v>201004023</v>
      </c>
      <c r="D3069" s="4" t="s">
        <v>2496</v>
      </c>
      <c r="E3069" s="4" t="str">
        <f>"080762010"</f>
        <v>080762010</v>
      </c>
      <c r="F3069" s="10">
        <v>40346</v>
      </c>
      <c r="G3069" s="11">
        <v>28000</v>
      </c>
      <c r="H3069" s="11">
        <v>28000</v>
      </c>
      <c r="I3069" s="4" t="s">
        <v>23</v>
      </c>
      <c r="J3069" s="4" t="s">
        <v>24</v>
      </c>
      <c r="K3069" s="11">
        <v>0</v>
      </c>
      <c r="L3069" s="4"/>
      <c r="M3069" s="4"/>
      <c r="N3069" s="11">
        <v>0</v>
      </c>
      <c r="O3069" s="4"/>
      <c r="P3069" s="4"/>
      <c r="Q3069" s="11">
        <v>0</v>
      </c>
      <c r="R3069" s="4"/>
      <c r="S3069" s="12"/>
    </row>
    <row r="3070" spans="1:19" x14ac:dyDescent="0.25">
      <c r="A3070" s="9" t="s">
        <v>1070</v>
      </c>
      <c r="B3070" s="9" t="s">
        <v>1070</v>
      </c>
      <c r="C3070" s="4">
        <v>201004040</v>
      </c>
      <c r="D3070" s="4"/>
      <c r="E3070" s="4" t="str">
        <f>"080082010"</f>
        <v>080082010</v>
      </c>
      <c r="F3070" s="10">
        <v>40346</v>
      </c>
      <c r="G3070" s="11">
        <v>2940.36</v>
      </c>
      <c r="H3070" s="11">
        <v>2940.36</v>
      </c>
      <c r="I3070" s="4" t="s">
        <v>366</v>
      </c>
      <c r="J3070" s="4" t="s">
        <v>367</v>
      </c>
      <c r="K3070" s="11">
        <v>0</v>
      </c>
      <c r="L3070" s="4"/>
      <c r="M3070" s="4"/>
      <c r="N3070" s="11">
        <v>0</v>
      </c>
      <c r="O3070" s="4"/>
      <c r="P3070" s="4"/>
      <c r="Q3070" s="11">
        <v>0</v>
      </c>
      <c r="R3070" s="4"/>
      <c r="S3070" s="12"/>
    </row>
    <row r="3071" spans="1:19" x14ac:dyDescent="0.25">
      <c r="A3071" s="9" t="s">
        <v>1070</v>
      </c>
      <c r="B3071" s="9" t="s">
        <v>1070</v>
      </c>
      <c r="C3071" s="4">
        <v>201004105</v>
      </c>
      <c r="D3071" s="4"/>
      <c r="E3071" s="4" t="str">
        <f>"080902010"</f>
        <v>080902010</v>
      </c>
      <c r="F3071" s="10">
        <v>40346</v>
      </c>
      <c r="G3071" s="11">
        <v>4868.32</v>
      </c>
      <c r="H3071" s="11">
        <v>4868.32</v>
      </c>
      <c r="I3071" s="4" t="s">
        <v>366</v>
      </c>
      <c r="J3071" s="4" t="s">
        <v>367</v>
      </c>
      <c r="K3071" s="11">
        <v>0</v>
      </c>
      <c r="L3071" s="4"/>
      <c r="M3071" s="4"/>
      <c r="N3071" s="11">
        <v>0</v>
      </c>
      <c r="O3071" s="4"/>
      <c r="P3071" s="4"/>
      <c r="Q3071" s="11">
        <v>0</v>
      </c>
      <c r="R3071" s="4"/>
      <c r="S3071" s="12"/>
    </row>
    <row r="3072" spans="1:19" x14ac:dyDescent="0.25">
      <c r="A3072" s="9" t="s">
        <v>1070</v>
      </c>
      <c r="B3072" s="9" t="s">
        <v>1070</v>
      </c>
      <c r="C3072" s="4">
        <v>201004111</v>
      </c>
      <c r="D3072" s="4"/>
      <c r="E3072" s="4" t="str">
        <f>"080642010"</f>
        <v>080642010</v>
      </c>
      <c r="F3072" s="10">
        <v>40346</v>
      </c>
      <c r="G3072" s="11">
        <v>2933.93</v>
      </c>
      <c r="H3072" s="11">
        <v>2933.93</v>
      </c>
      <c r="I3072" s="4" t="s">
        <v>366</v>
      </c>
      <c r="J3072" s="4" t="s">
        <v>367</v>
      </c>
      <c r="K3072" s="11">
        <v>0</v>
      </c>
      <c r="L3072" s="4"/>
      <c r="M3072" s="4"/>
      <c r="N3072" s="11">
        <v>0</v>
      </c>
      <c r="O3072" s="4"/>
      <c r="P3072" s="4"/>
      <c r="Q3072" s="11">
        <v>0</v>
      </c>
      <c r="R3072" s="4"/>
      <c r="S3072" s="12"/>
    </row>
    <row r="3073" spans="1:19" x14ac:dyDescent="0.25">
      <c r="A3073" s="9" t="s">
        <v>1070</v>
      </c>
      <c r="B3073" s="9" t="s">
        <v>1070</v>
      </c>
      <c r="C3073" s="4">
        <v>201004349</v>
      </c>
      <c r="D3073" s="4"/>
      <c r="E3073" s="4" t="str">
        <f>"086622010"</f>
        <v>086622010</v>
      </c>
      <c r="F3073" s="10">
        <v>40358</v>
      </c>
      <c r="G3073" s="11">
        <v>7333</v>
      </c>
      <c r="H3073" s="11">
        <v>7333</v>
      </c>
      <c r="I3073" s="4" t="s">
        <v>366</v>
      </c>
      <c r="J3073" s="4" t="s">
        <v>367</v>
      </c>
      <c r="K3073" s="11">
        <v>0</v>
      </c>
      <c r="L3073" s="4"/>
      <c r="M3073" s="4"/>
      <c r="N3073" s="11">
        <v>0</v>
      </c>
      <c r="O3073" s="4"/>
      <c r="P3073" s="4"/>
      <c r="Q3073" s="11">
        <v>0</v>
      </c>
      <c r="R3073" s="4"/>
      <c r="S3073" s="12"/>
    </row>
    <row r="3074" spans="1:19" x14ac:dyDescent="0.25">
      <c r="A3074" s="9" t="s">
        <v>1070</v>
      </c>
      <c r="B3074" s="9" t="s">
        <v>1070</v>
      </c>
      <c r="C3074" s="4">
        <v>201004372</v>
      </c>
      <c r="D3074" s="4"/>
      <c r="E3074" s="4" t="str">
        <f>"087422010"</f>
        <v>087422010</v>
      </c>
      <c r="F3074" s="10">
        <v>40358</v>
      </c>
      <c r="G3074" s="11">
        <v>3735.71</v>
      </c>
      <c r="H3074" s="11">
        <v>3735.71</v>
      </c>
      <c r="I3074" s="4" t="s">
        <v>931</v>
      </c>
      <c r="J3074" s="4" t="s">
        <v>932</v>
      </c>
      <c r="K3074" s="11">
        <v>0</v>
      </c>
      <c r="L3074" s="4"/>
      <c r="M3074" s="4"/>
      <c r="N3074" s="11">
        <v>0</v>
      </c>
      <c r="O3074" s="4"/>
      <c r="P3074" s="4"/>
      <c r="Q3074" s="11">
        <v>0</v>
      </c>
      <c r="R3074" s="4"/>
      <c r="S3074" s="12"/>
    </row>
    <row r="3075" spans="1:19" x14ac:dyDescent="0.25">
      <c r="A3075" s="9" t="s">
        <v>1070</v>
      </c>
      <c r="B3075" s="9" t="s">
        <v>1070</v>
      </c>
      <c r="C3075" s="4">
        <v>201004453</v>
      </c>
      <c r="D3075" s="4" t="s">
        <v>2497</v>
      </c>
      <c r="E3075" s="4" t="str">
        <f>"089682010"</f>
        <v>089682010</v>
      </c>
      <c r="F3075" s="10">
        <v>40367</v>
      </c>
      <c r="G3075" s="11">
        <v>24500</v>
      </c>
      <c r="H3075" s="11">
        <v>24500</v>
      </c>
      <c r="I3075" s="4" t="s">
        <v>366</v>
      </c>
      <c r="J3075" s="4" t="s">
        <v>367</v>
      </c>
      <c r="K3075" s="11">
        <v>0</v>
      </c>
      <c r="L3075" s="4"/>
      <c r="M3075" s="4"/>
      <c r="N3075" s="11">
        <v>0</v>
      </c>
      <c r="O3075" s="4"/>
      <c r="P3075" s="4"/>
      <c r="Q3075" s="11">
        <v>0</v>
      </c>
      <c r="R3075" s="4"/>
      <c r="S3075" s="12"/>
    </row>
    <row r="3076" spans="1:19" x14ac:dyDescent="0.25">
      <c r="A3076" s="9" t="s">
        <v>1070</v>
      </c>
      <c r="B3076" s="9" t="s">
        <v>1070</v>
      </c>
      <c r="C3076" s="4">
        <v>201004466</v>
      </c>
      <c r="D3076" s="4"/>
      <c r="E3076" s="4" t="str">
        <f>"089602010"</f>
        <v>089602010</v>
      </c>
      <c r="F3076" s="10">
        <v>40367</v>
      </c>
      <c r="G3076" s="11">
        <v>2998.04</v>
      </c>
      <c r="H3076" s="11">
        <v>2998.04</v>
      </c>
      <c r="I3076" s="4" t="s">
        <v>366</v>
      </c>
      <c r="J3076" s="4" t="s">
        <v>367</v>
      </c>
      <c r="K3076" s="11">
        <v>0</v>
      </c>
      <c r="L3076" s="4"/>
      <c r="M3076" s="4"/>
      <c r="N3076" s="11">
        <v>0</v>
      </c>
      <c r="O3076" s="4"/>
      <c r="P3076" s="4"/>
      <c r="Q3076" s="11">
        <v>0</v>
      </c>
      <c r="R3076" s="4"/>
      <c r="S3076" s="12"/>
    </row>
    <row r="3077" spans="1:19" x14ac:dyDescent="0.25">
      <c r="A3077" s="9" t="s">
        <v>1070</v>
      </c>
      <c r="B3077" s="9" t="s">
        <v>552</v>
      </c>
      <c r="C3077" s="4">
        <v>201004479</v>
      </c>
      <c r="D3077" s="4"/>
      <c r="E3077" s="4" t="str">
        <f>"091462010"</f>
        <v>091462010</v>
      </c>
      <c r="F3077" s="10">
        <v>40368</v>
      </c>
      <c r="G3077" s="11">
        <v>2503.85</v>
      </c>
      <c r="H3077" s="11">
        <v>2503.85</v>
      </c>
      <c r="I3077" s="4" t="s">
        <v>54</v>
      </c>
      <c r="J3077" s="4" t="s">
        <v>55</v>
      </c>
      <c r="K3077" s="11">
        <v>0</v>
      </c>
      <c r="L3077" s="4"/>
      <c r="M3077" s="4"/>
      <c r="N3077" s="11">
        <v>0</v>
      </c>
      <c r="O3077" s="4"/>
      <c r="P3077" s="4"/>
      <c r="Q3077" s="11">
        <v>0</v>
      </c>
      <c r="R3077" s="4"/>
      <c r="S3077" s="12"/>
    </row>
    <row r="3078" spans="1:19" x14ac:dyDescent="0.25">
      <c r="A3078" s="9" t="s">
        <v>1070</v>
      </c>
      <c r="B3078" s="9" t="s">
        <v>1070</v>
      </c>
      <c r="C3078" s="4">
        <v>201004539</v>
      </c>
      <c r="D3078" s="4"/>
      <c r="E3078" s="4" t="str">
        <f>"095602010"</f>
        <v>095602010</v>
      </c>
      <c r="F3078" s="10">
        <v>40387</v>
      </c>
      <c r="G3078" s="11">
        <v>3382.34</v>
      </c>
      <c r="H3078" s="11">
        <v>3382.34</v>
      </c>
      <c r="I3078" s="4" t="s">
        <v>366</v>
      </c>
      <c r="J3078" s="4" t="s">
        <v>367</v>
      </c>
      <c r="K3078" s="11">
        <v>0</v>
      </c>
      <c r="L3078" s="4"/>
      <c r="M3078" s="4"/>
      <c r="N3078" s="11">
        <v>0</v>
      </c>
      <c r="O3078" s="4"/>
      <c r="P3078" s="4"/>
      <c r="Q3078" s="11">
        <v>0</v>
      </c>
      <c r="R3078" s="4"/>
      <c r="S3078" s="12"/>
    </row>
    <row r="3079" spans="1:19" x14ac:dyDescent="0.25">
      <c r="A3079" s="9" t="s">
        <v>1070</v>
      </c>
      <c r="B3079" s="9" t="s">
        <v>1070</v>
      </c>
      <c r="C3079" s="4">
        <v>201004656</v>
      </c>
      <c r="D3079" s="4"/>
      <c r="E3079" s="4" t="str">
        <f>"092662010"</f>
        <v>092662010</v>
      </c>
      <c r="F3079" s="10">
        <v>40373</v>
      </c>
      <c r="G3079" s="11">
        <v>2527.09</v>
      </c>
      <c r="H3079" s="11">
        <v>2527.09</v>
      </c>
      <c r="I3079" s="4" t="s">
        <v>54</v>
      </c>
      <c r="J3079" s="4" t="s">
        <v>55</v>
      </c>
      <c r="K3079" s="11">
        <v>0</v>
      </c>
      <c r="L3079" s="4"/>
      <c r="M3079" s="4"/>
      <c r="N3079" s="11">
        <v>0</v>
      </c>
      <c r="O3079" s="4"/>
      <c r="P3079" s="4"/>
      <c r="Q3079" s="11">
        <v>0</v>
      </c>
      <c r="R3079" s="4"/>
      <c r="S3079" s="12"/>
    </row>
    <row r="3080" spans="1:19" x14ac:dyDescent="0.25">
      <c r="A3080" s="9" t="s">
        <v>1070</v>
      </c>
      <c r="B3080" s="9" t="s">
        <v>1070</v>
      </c>
      <c r="C3080" s="4">
        <v>201004835</v>
      </c>
      <c r="D3080" s="4"/>
      <c r="E3080" s="4" t="str">
        <f>"096712010"</f>
        <v>096712010</v>
      </c>
      <c r="F3080" s="10">
        <v>40387</v>
      </c>
      <c r="G3080" s="11">
        <v>2571.87</v>
      </c>
      <c r="H3080" s="11">
        <v>2571.87</v>
      </c>
      <c r="I3080" s="4" t="s">
        <v>54</v>
      </c>
      <c r="J3080" s="4" t="s">
        <v>55</v>
      </c>
      <c r="K3080" s="11">
        <v>0</v>
      </c>
      <c r="L3080" s="4"/>
      <c r="M3080" s="4"/>
      <c r="N3080" s="11">
        <v>0</v>
      </c>
      <c r="O3080" s="4"/>
      <c r="P3080" s="4"/>
      <c r="Q3080" s="11">
        <v>0</v>
      </c>
      <c r="R3080" s="4"/>
      <c r="S3080" s="12"/>
    </row>
    <row r="3081" spans="1:19" x14ac:dyDescent="0.25">
      <c r="A3081" s="9" t="s">
        <v>1070</v>
      </c>
      <c r="B3081" s="9" t="s">
        <v>1070</v>
      </c>
      <c r="C3081" s="4">
        <v>201005028</v>
      </c>
      <c r="D3081" s="4"/>
      <c r="E3081" s="4" t="str">
        <f>"101672010"</f>
        <v>101672010</v>
      </c>
      <c r="F3081" s="10">
        <v>40408</v>
      </c>
      <c r="G3081" s="11">
        <v>25000</v>
      </c>
      <c r="H3081" s="11">
        <v>25000</v>
      </c>
      <c r="I3081" s="4" t="s">
        <v>931</v>
      </c>
      <c r="J3081" s="4" t="s">
        <v>932</v>
      </c>
      <c r="K3081" s="11">
        <v>0</v>
      </c>
      <c r="L3081" s="4"/>
      <c r="M3081" s="4"/>
      <c r="N3081" s="11">
        <v>0</v>
      </c>
      <c r="O3081" s="4"/>
      <c r="P3081" s="4"/>
      <c r="Q3081" s="11">
        <v>0</v>
      </c>
      <c r="R3081" s="4"/>
      <c r="S3081" s="12"/>
    </row>
    <row r="3082" spans="1:19" x14ac:dyDescent="0.25">
      <c r="A3082" s="9" t="s">
        <v>1070</v>
      </c>
      <c r="B3082" s="9" t="s">
        <v>1070</v>
      </c>
      <c r="C3082" s="4">
        <v>201005143</v>
      </c>
      <c r="D3082" s="4" t="s">
        <v>2498</v>
      </c>
      <c r="E3082" s="4" t="str">
        <f>"102832010"</f>
        <v>102832010</v>
      </c>
      <c r="F3082" s="10">
        <v>40409</v>
      </c>
      <c r="G3082" s="11">
        <v>40000</v>
      </c>
      <c r="H3082" s="11">
        <v>40000</v>
      </c>
      <c r="I3082" s="4" t="s">
        <v>366</v>
      </c>
      <c r="J3082" s="4" t="s">
        <v>367</v>
      </c>
      <c r="K3082" s="11">
        <v>0</v>
      </c>
      <c r="L3082" s="4"/>
      <c r="M3082" s="4"/>
      <c r="N3082" s="11">
        <v>0</v>
      </c>
      <c r="O3082" s="4"/>
      <c r="P3082" s="4"/>
      <c r="Q3082" s="11">
        <v>0</v>
      </c>
      <c r="R3082" s="4"/>
      <c r="S3082" s="12"/>
    </row>
    <row r="3083" spans="1:19" x14ac:dyDescent="0.25">
      <c r="A3083" s="9" t="s">
        <v>1070</v>
      </c>
      <c r="B3083" s="9" t="s">
        <v>552</v>
      </c>
      <c r="C3083" s="4">
        <v>201005167</v>
      </c>
      <c r="D3083" s="4"/>
      <c r="E3083" s="4" t="str">
        <f>"103292010"</f>
        <v>103292010</v>
      </c>
      <c r="F3083" s="10">
        <v>40409</v>
      </c>
      <c r="G3083" s="11">
        <v>2659.01</v>
      </c>
      <c r="H3083" s="11">
        <v>2659.01</v>
      </c>
      <c r="I3083" s="4" t="s">
        <v>54</v>
      </c>
      <c r="J3083" s="4" t="s">
        <v>55</v>
      </c>
      <c r="K3083" s="11">
        <v>0</v>
      </c>
      <c r="L3083" s="4"/>
      <c r="M3083" s="4"/>
      <c r="N3083" s="11">
        <v>0</v>
      </c>
      <c r="O3083" s="4"/>
      <c r="P3083" s="4"/>
      <c r="Q3083" s="11">
        <v>0</v>
      </c>
      <c r="R3083" s="4"/>
      <c r="S3083" s="12"/>
    </row>
    <row r="3084" spans="1:19" x14ac:dyDescent="0.25">
      <c r="A3084" s="9" t="s">
        <v>1070</v>
      </c>
      <c r="B3084" s="9" t="s">
        <v>552</v>
      </c>
      <c r="C3084" s="4">
        <v>201005168</v>
      </c>
      <c r="D3084" s="4"/>
      <c r="E3084" s="4" t="str">
        <f>"103252010"</f>
        <v>103252010</v>
      </c>
      <c r="F3084" s="10">
        <v>40409</v>
      </c>
      <c r="G3084" s="11">
        <v>25000</v>
      </c>
      <c r="H3084" s="11">
        <v>25000</v>
      </c>
      <c r="I3084" s="4" t="s">
        <v>54</v>
      </c>
      <c r="J3084" s="4" t="s">
        <v>55</v>
      </c>
      <c r="K3084" s="11">
        <v>0</v>
      </c>
      <c r="L3084" s="4"/>
      <c r="M3084" s="4"/>
      <c r="N3084" s="11">
        <v>0</v>
      </c>
      <c r="O3084" s="4"/>
      <c r="P3084" s="4"/>
      <c r="Q3084" s="11">
        <v>0</v>
      </c>
      <c r="R3084" s="4"/>
      <c r="S3084" s="12"/>
    </row>
    <row r="3085" spans="1:19" x14ac:dyDescent="0.25">
      <c r="A3085" s="9" t="s">
        <v>1070</v>
      </c>
      <c r="B3085" s="9" t="s">
        <v>552</v>
      </c>
      <c r="C3085" s="4">
        <v>201005302</v>
      </c>
      <c r="D3085" s="4"/>
      <c r="E3085" s="4" t="str">
        <f>"111012010"</f>
        <v>111012010</v>
      </c>
      <c r="F3085" s="10">
        <v>40437</v>
      </c>
      <c r="G3085" s="11">
        <v>2655.89</v>
      </c>
      <c r="H3085" s="11">
        <v>2655.89</v>
      </c>
      <c r="I3085" s="4" t="s">
        <v>366</v>
      </c>
      <c r="J3085" s="4" t="s">
        <v>367</v>
      </c>
      <c r="K3085" s="11">
        <v>0</v>
      </c>
      <c r="L3085" s="4"/>
      <c r="M3085" s="4"/>
      <c r="N3085" s="11">
        <v>0</v>
      </c>
      <c r="O3085" s="4"/>
      <c r="P3085" s="4"/>
      <c r="Q3085" s="11">
        <v>0</v>
      </c>
      <c r="R3085" s="4"/>
      <c r="S3085" s="12"/>
    </row>
    <row r="3086" spans="1:19" x14ac:dyDescent="0.25">
      <c r="A3086" s="9" t="s">
        <v>1085</v>
      </c>
      <c r="B3086" s="9" t="s">
        <v>195</v>
      </c>
      <c r="C3086" s="4">
        <v>201000265</v>
      </c>
      <c r="D3086" s="4"/>
      <c r="E3086" s="4" t="str">
        <f>"005972010"</f>
        <v>005972010</v>
      </c>
      <c r="F3086" s="10">
        <v>40112</v>
      </c>
      <c r="G3086" s="11">
        <v>13847</v>
      </c>
      <c r="H3086" s="11">
        <v>13847</v>
      </c>
      <c r="I3086" s="4" t="s">
        <v>366</v>
      </c>
      <c r="J3086" s="4" t="s">
        <v>367</v>
      </c>
      <c r="K3086" s="11">
        <v>0</v>
      </c>
      <c r="L3086" s="4"/>
      <c r="M3086" s="4"/>
      <c r="N3086" s="11">
        <v>0</v>
      </c>
      <c r="O3086" s="4"/>
      <c r="P3086" s="4"/>
      <c r="Q3086" s="11">
        <v>0</v>
      </c>
      <c r="R3086" s="4"/>
      <c r="S3086" s="12"/>
    </row>
    <row r="3087" spans="1:19" x14ac:dyDescent="0.25">
      <c r="A3087" s="9" t="s">
        <v>1085</v>
      </c>
      <c r="B3087" s="9" t="s">
        <v>195</v>
      </c>
      <c r="C3087" s="4">
        <v>201000795</v>
      </c>
      <c r="D3087" s="4"/>
      <c r="E3087" s="4" t="str">
        <f>"014822010"</f>
        <v>014822010</v>
      </c>
      <c r="F3087" s="10">
        <v>40142</v>
      </c>
      <c r="G3087" s="11">
        <v>2800</v>
      </c>
      <c r="H3087" s="11">
        <v>2800</v>
      </c>
      <c r="I3087" s="4" t="s">
        <v>366</v>
      </c>
      <c r="J3087" s="4" t="s">
        <v>367</v>
      </c>
      <c r="K3087" s="11">
        <v>0</v>
      </c>
      <c r="L3087" s="4"/>
      <c r="M3087" s="4"/>
      <c r="N3087" s="11">
        <v>0</v>
      </c>
      <c r="O3087" s="4"/>
      <c r="P3087" s="4"/>
      <c r="Q3087" s="11">
        <v>0</v>
      </c>
      <c r="R3087" s="4"/>
      <c r="S3087" s="12"/>
    </row>
    <row r="3088" spans="1:19" x14ac:dyDescent="0.25">
      <c r="A3088" s="9" t="s">
        <v>1085</v>
      </c>
      <c r="B3088" s="9" t="s">
        <v>1085</v>
      </c>
      <c r="C3088" s="4">
        <v>201000805</v>
      </c>
      <c r="D3088" s="4" t="s">
        <v>2499</v>
      </c>
      <c r="E3088" s="4" t="str">
        <f>"015742010"</f>
        <v>015742010</v>
      </c>
      <c r="F3088" s="10">
        <v>40142</v>
      </c>
      <c r="G3088" s="11">
        <v>15219.33</v>
      </c>
      <c r="H3088" s="11">
        <v>15219.33</v>
      </c>
      <c r="I3088" s="4" t="s">
        <v>366</v>
      </c>
      <c r="J3088" s="4" t="s">
        <v>367</v>
      </c>
      <c r="K3088" s="11">
        <v>0</v>
      </c>
      <c r="L3088" s="4"/>
      <c r="M3088" s="4"/>
      <c r="N3088" s="11">
        <v>0</v>
      </c>
      <c r="O3088" s="4"/>
      <c r="P3088" s="4"/>
      <c r="Q3088" s="11">
        <v>0</v>
      </c>
      <c r="R3088" s="4"/>
      <c r="S3088" s="12"/>
    </row>
    <row r="3089" spans="1:19" x14ac:dyDescent="0.25">
      <c r="A3089" s="9" t="s">
        <v>1085</v>
      </c>
      <c r="B3089" s="9" t="s">
        <v>195</v>
      </c>
      <c r="C3089" s="4">
        <v>201000819</v>
      </c>
      <c r="D3089" s="4"/>
      <c r="E3089" s="4" t="str">
        <f>"015802010"</f>
        <v>015802010</v>
      </c>
      <c r="F3089" s="10">
        <v>40142</v>
      </c>
      <c r="G3089" s="11">
        <v>16456.11</v>
      </c>
      <c r="H3089" s="11">
        <v>16456.11</v>
      </c>
      <c r="I3089" s="4" t="s">
        <v>366</v>
      </c>
      <c r="J3089" s="4" t="s">
        <v>367</v>
      </c>
      <c r="K3089" s="11">
        <v>0</v>
      </c>
      <c r="L3089" s="4"/>
      <c r="M3089" s="4"/>
      <c r="N3089" s="11">
        <v>0</v>
      </c>
      <c r="O3089" s="4"/>
      <c r="P3089" s="4"/>
      <c r="Q3089" s="11">
        <v>0</v>
      </c>
      <c r="R3089" s="4"/>
      <c r="S3089" s="12"/>
    </row>
    <row r="3090" spans="1:19" x14ac:dyDescent="0.25">
      <c r="A3090" s="9" t="s">
        <v>1085</v>
      </c>
      <c r="B3090" s="9" t="s">
        <v>1085</v>
      </c>
      <c r="C3090" s="4">
        <v>201002662</v>
      </c>
      <c r="D3090" s="4"/>
      <c r="E3090" s="4" t="str">
        <f>"054422010"</f>
        <v>054422010</v>
      </c>
      <c r="F3090" s="10">
        <v>40274</v>
      </c>
      <c r="G3090" s="11">
        <v>3649.44</v>
      </c>
      <c r="H3090" s="11">
        <v>3649.44</v>
      </c>
      <c r="I3090" s="4" t="s">
        <v>366</v>
      </c>
      <c r="J3090" s="4" t="s">
        <v>367</v>
      </c>
      <c r="K3090" s="11">
        <v>0</v>
      </c>
      <c r="L3090" s="4"/>
      <c r="M3090" s="4"/>
      <c r="N3090" s="11">
        <v>0</v>
      </c>
      <c r="O3090" s="4"/>
      <c r="P3090" s="4"/>
      <c r="Q3090" s="11">
        <v>0</v>
      </c>
      <c r="R3090" s="4"/>
      <c r="S3090" s="12"/>
    </row>
    <row r="3091" spans="1:19" x14ac:dyDescent="0.25">
      <c r="A3091" s="9" t="s">
        <v>1085</v>
      </c>
      <c r="B3091" s="9" t="s">
        <v>195</v>
      </c>
      <c r="C3091" s="4">
        <v>201002778</v>
      </c>
      <c r="D3091" s="4"/>
      <c r="E3091" s="4" t="str">
        <f>"055232010"</f>
        <v>055232010</v>
      </c>
      <c r="F3091" s="10">
        <v>40273</v>
      </c>
      <c r="G3091" s="11">
        <v>8309.2000000000007</v>
      </c>
      <c r="H3091" s="11">
        <v>8309.2000000000007</v>
      </c>
      <c r="I3091" s="4" t="s">
        <v>366</v>
      </c>
      <c r="J3091" s="4" t="s">
        <v>367</v>
      </c>
      <c r="K3091" s="11">
        <v>0</v>
      </c>
      <c r="L3091" s="4"/>
      <c r="M3091" s="4"/>
      <c r="N3091" s="11">
        <v>0</v>
      </c>
      <c r="O3091" s="4"/>
      <c r="P3091" s="4"/>
      <c r="Q3091" s="11">
        <v>0</v>
      </c>
      <c r="R3091" s="4"/>
      <c r="S3091" s="12"/>
    </row>
    <row r="3092" spans="1:19" x14ac:dyDescent="0.25">
      <c r="A3092" s="9" t="s">
        <v>1085</v>
      </c>
      <c r="B3092" s="9" t="s">
        <v>1085</v>
      </c>
      <c r="C3092" s="4">
        <v>201002855</v>
      </c>
      <c r="D3092" s="4" t="s">
        <v>2500</v>
      </c>
      <c r="E3092" s="4" t="str">
        <f>"056152010"</f>
        <v>056152010</v>
      </c>
      <c r="F3092" s="10">
        <v>40275</v>
      </c>
      <c r="G3092" s="11">
        <v>5325</v>
      </c>
      <c r="H3092" s="11">
        <v>5325</v>
      </c>
      <c r="I3092" s="4" t="s">
        <v>366</v>
      </c>
      <c r="J3092" s="4" t="s">
        <v>367</v>
      </c>
      <c r="K3092" s="11">
        <v>0</v>
      </c>
      <c r="L3092" s="4"/>
      <c r="M3092" s="4"/>
      <c r="N3092" s="11">
        <v>0</v>
      </c>
      <c r="O3092" s="4"/>
      <c r="P3092" s="4"/>
      <c r="Q3092" s="11">
        <v>0</v>
      </c>
      <c r="R3092" s="4"/>
      <c r="S3092" s="12"/>
    </row>
    <row r="3093" spans="1:19" x14ac:dyDescent="0.25">
      <c r="A3093" s="9" t="s">
        <v>1085</v>
      </c>
      <c r="B3093" s="9" t="s">
        <v>1085</v>
      </c>
      <c r="C3093" s="4">
        <v>201003311</v>
      </c>
      <c r="D3093" s="4"/>
      <c r="E3093" s="4" t="str">
        <f>"095032010"</f>
        <v>095032010</v>
      </c>
      <c r="F3093" s="10">
        <v>40381</v>
      </c>
      <c r="G3093" s="11">
        <v>5810.13</v>
      </c>
      <c r="H3093" s="11">
        <v>5810.13</v>
      </c>
      <c r="I3093" s="4" t="s">
        <v>366</v>
      </c>
      <c r="J3093" s="4" t="s">
        <v>367</v>
      </c>
      <c r="K3093" s="11">
        <v>0</v>
      </c>
      <c r="L3093" s="4"/>
      <c r="M3093" s="4"/>
      <c r="N3093" s="11">
        <v>0</v>
      </c>
      <c r="O3093" s="4"/>
      <c r="P3093" s="4"/>
      <c r="Q3093" s="11">
        <v>0</v>
      </c>
      <c r="R3093" s="4"/>
      <c r="S3093" s="12"/>
    </row>
    <row r="3094" spans="1:19" x14ac:dyDescent="0.25">
      <c r="A3094" s="9" t="s">
        <v>1085</v>
      </c>
      <c r="B3094" s="9" t="s">
        <v>1085</v>
      </c>
      <c r="C3094" s="4">
        <v>201003633</v>
      </c>
      <c r="D3094" s="4"/>
      <c r="E3094" s="4" t="str">
        <f>"072932010"</f>
        <v>072932010</v>
      </c>
      <c r="F3094" s="10">
        <v>40324</v>
      </c>
      <c r="G3094" s="11">
        <v>7638.44</v>
      </c>
      <c r="H3094" s="11">
        <v>7638.44</v>
      </c>
      <c r="I3094" s="4" t="s">
        <v>366</v>
      </c>
      <c r="J3094" s="4" t="s">
        <v>367</v>
      </c>
      <c r="K3094" s="11">
        <v>0</v>
      </c>
      <c r="L3094" s="4"/>
      <c r="M3094" s="4"/>
      <c r="N3094" s="11">
        <v>0</v>
      </c>
      <c r="O3094" s="4"/>
      <c r="P3094" s="4"/>
      <c r="Q3094" s="11">
        <v>0</v>
      </c>
      <c r="R3094" s="4"/>
      <c r="S3094" s="12"/>
    </row>
    <row r="3095" spans="1:19" x14ac:dyDescent="0.25">
      <c r="A3095" s="9" t="s">
        <v>1085</v>
      </c>
      <c r="B3095" s="9" t="s">
        <v>1085</v>
      </c>
      <c r="C3095" s="4">
        <v>201003771</v>
      </c>
      <c r="D3095" s="4"/>
      <c r="E3095" s="4" t="str">
        <f>"074982010"</f>
        <v>074982010</v>
      </c>
      <c r="F3095" s="10">
        <v>40331</v>
      </c>
      <c r="G3095" s="11">
        <v>7530.91</v>
      </c>
      <c r="H3095" s="11">
        <v>7530.91</v>
      </c>
      <c r="I3095" s="4" t="s">
        <v>366</v>
      </c>
      <c r="J3095" s="4" t="s">
        <v>367</v>
      </c>
      <c r="K3095" s="11">
        <v>0</v>
      </c>
      <c r="L3095" s="4"/>
      <c r="M3095" s="4"/>
      <c r="N3095" s="11">
        <v>0</v>
      </c>
      <c r="O3095" s="4"/>
      <c r="P3095" s="4"/>
      <c r="Q3095" s="11">
        <v>0</v>
      </c>
      <c r="R3095" s="4"/>
      <c r="S3095" s="12"/>
    </row>
    <row r="3096" spans="1:19" x14ac:dyDescent="0.25">
      <c r="A3096" s="9" t="s">
        <v>1085</v>
      </c>
      <c r="B3096" s="9" t="s">
        <v>1085</v>
      </c>
      <c r="C3096" s="4">
        <v>201004206</v>
      </c>
      <c r="D3096" s="4"/>
      <c r="E3096" s="4" t="str">
        <f>"083762010"</f>
        <v>083762010</v>
      </c>
      <c r="F3096" s="10">
        <v>40358</v>
      </c>
      <c r="G3096" s="11">
        <v>5332</v>
      </c>
      <c r="H3096" s="11">
        <v>5332</v>
      </c>
      <c r="I3096" s="4" t="s">
        <v>366</v>
      </c>
      <c r="J3096" s="4" t="s">
        <v>367</v>
      </c>
      <c r="K3096" s="11">
        <v>0</v>
      </c>
      <c r="L3096" s="4"/>
      <c r="M3096" s="4"/>
      <c r="N3096" s="11">
        <v>0</v>
      </c>
      <c r="O3096" s="4"/>
      <c r="P3096" s="4"/>
      <c r="Q3096" s="11">
        <v>0</v>
      </c>
      <c r="R3096" s="4"/>
      <c r="S3096" s="12"/>
    </row>
    <row r="3097" spans="1:19" x14ac:dyDescent="0.25">
      <c r="A3097" s="9" t="s">
        <v>1085</v>
      </c>
      <c r="B3097" s="9" t="s">
        <v>1085</v>
      </c>
      <c r="C3097" s="4">
        <v>201004724</v>
      </c>
      <c r="D3097" s="4"/>
      <c r="E3097" s="4" t="str">
        <f>"094302010"</f>
        <v>094302010</v>
      </c>
      <c r="F3097" s="10">
        <v>40396</v>
      </c>
      <c r="G3097" s="11">
        <v>2856.18</v>
      </c>
      <c r="H3097" s="11">
        <v>2856.18</v>
      </c>
      <c r="I3097" s="4" t="s">
        <v>366</v>
      </c>
      <c r="J3097" s="4" t="s">
        <v>367</v>
      </c>
      <c r="K3097" s="11">
        <v>0</v>
      </c>
      <c r="L3097" s="4"/>
      <c r="M3097" s="4"/>
      <c r="N3097" s="11">
        <v>0</v>
      </c>
      <c r="O3097" s="4"/>
      <c r="P3097" s="4"/>
      <c r="Q3097" s="11">
        <v>0</v>
      </c>
      <c r="R3097" s="4"/>
      <c r="S3097" s="12"/>
    </row>
    <row r="3098" spans="1:19" x14ac:dyDescent="0.25">
      <c r="A3098" s="9" t="s">
        <v>1085</v>
      </c>
      <c r="B3098" s="9" t="s">
        <v>195</v>
      </c>
      <c r="C3098" s="4">
        <v>201005634</v>
      </c>
      <c r="D3098" s="4"/>
      <c r="E3098" s="4" t="str">
        <f>"114082010"</f>
        <v>114082010</v>
      </c>
      <c r="F3098" s="10">
        <v>40449</v>
      </c>
      <c r="G3098" s="11">
        <v>4087</v>
      </c>
      <c r="H3098" s="11">
        <v>4087</v>
      </c>
      <c r="I3098" s="4" t="s">
        <v>366</v>
      </c>
      <c r="J3098" s="4" t="s">
        <v>367</v>
      </c>
      <c r="K3098" s="11">
        <v>0</v>
      </c>
      <c r="L3098" s="4"/>
      <c r="M3098" s="4"/>
      <c r="N3098" s="11">
        <v>0</v>
      </c>
      <c r="O3098" s="4"/>
      <c r="P3098" s="4"/>
      <c r="Q3098" s="11">
        <v>0</v>
      </c>
      <c r="R3098" s="4"/>
      <c r="S3098" s="12"/>
    </row>
    <row r="3099" spans="1:19" x14ac:dyDescent="0.25">
      <c r="A3099" s="9" t="s">
        <v>2501</v>
      </c>
      <c r="B3099" s="9" t="s">
        <v>2501</v>
      </c>
      <c r="C3099" s="4">
        <v>201001451</v>
      </c>
      <c r="D3099" s="4"/>
      <c r="E3099" s="4" t="str">
        <f>"028342010"</f>
        <v>028342010</v>
      </c>
      <c r="F3099" s="10">
        <v>40186</v>
      </c>
      <c r="G3099" s="11">
        <v>7218.96</v>
      </c>
      <c r="H3099" s="11">
        <v>7218.96</v>
      </c>
      <c r="I3099" s="4" t="s">
        <v>366</v>
      </c>
      <c r="J3099" s="4" t="s">
        <v>367</v>
      </c>
      <c r="K3099" s="11">
        <v>0</v>
      </c>
      <c r="L3099" s="4"/>
      <c r="M3099" s="4"/>
      <c r="N3099" s="11">
        <v>0</v>
      </c>
      <c r="O3099" s="4"/>
      <c r="P3099" s="4"/>
      <c r="Q3099" s="11">
        <v>0</v>
      </c>
      <c r="R3099" s="4"/>
      <c r="S3099" s="12"/>
    </row>
    <row r="3100" spans="1:19" x14ac:dyDescent="0.25">
      <c r="A3100" s="9" t="s">
        <v>1097</v>
      </c>
      <c r="B3100" s="9" t="s">
        <v>291</v>
      </c>
      <c r="C3100" s="4">
        <v>201000846</v>
      </c>
      <c r="D3100" s="4" t="s">
        <v>2502</v>
      </c>
      <c r="E3100" s="4" t="str">
        <f>"016372010"</f>
        <v>016372010</v>
      </c>
      <c r="F3100" s="10">
        <v>40149</v>
      </c>
      <c r="G3100" s="11">
        <v>12000</v>
      </c>
      <c r="H3100" s="11">
        <v>12000</v>
      </c>
      <c r="I3100" s="4" t="s">
        <v>38</v>
      </c>
      <c r="J3100" s="4" t="s">
        <v>39</v>
      </c>
      <c r="K3100" s="11">
        <v>0</v>
      </c>
      <c r="L3100" s="4"/>
      <c r="M3100" s="4"/>
      <c r="N3100" s="11">
        <v>0</v>
      </c>
      <c r="O3100" s="4"/>
      <c r="P3100" s="4"/>
      <c r="Q3100" s="11">
        <v>0</v>
      </c>
      <c r="R3100" s="4"/>
      <c r="S3100" s="12"/>
    </row>
    <row r="3101" spans="1:19" x14ac:dyDescent="0.25">
      <c r="A3101" s="9" t="s">
        <v>1106</v>
      </c>
      <c r="B3101" s="9" t="s">
        <v>195</v>
      </c>
      <c r="C3101" s="4">
        <v>201002184</v>
      </c>
      <c r="D3101" s="4"/>
      <c r="E3101" s="4" t="str">
        <f>"045202010"</f>
        <v>045202010</v>
      </c>
      <c r="F3101" s="10">
        <v>40246</v>
      </c>
      <c r="G3101" s="11">
        <v>25000</v>
      </c>
      <c r="H3101" s="11">
        <v>25000</v>
      </c>
      <c r="I3101" s="4" t="s">
        <v>366</v>
      </c>
      <c r="J3101" s="4" t="s">
        <v>367</v>
      </c>
      <c r="K3101" s="11">
        <v>0</v>
      </c>
      <c r="L3101" s="4"/>
      <c r="M3101" s="4"/>
      <c r="N3101" s="11">
        <v>0</v>
      </c>
      <c r="O3101" s="4"/>
      <c r="P3101" s="4"/>
      <c r="Q3101" s="11">
        <v>0</v>
      </c>
      <c r="R3101" s="4"/>
      <c r="S3101" s="12"/>
    </row>
    <row r="3102" spans="1:19" x14ac:dyDescent="0.25">
      <c r="A3102" s="9" t="s">
        <v>1106</v>
      </c>
      <c r="B3102" s="9" t="s">
        <v>1106</v>
      </c>
      <c r="C3102" s="4">
        <v>201002714</v>
      </c>
      <c r="D3102" s="4"/>
      <c r="E3102" s="4" t="str">
        <f>"053402010"</f>
        <v>053402010</v>
      </c>
      <c r="F3102" s="10">
        <v>40273</v>
      </c>
      <c r="G3102" s="11">
        <v>3364.4</v>
      </c>
      <c r="H3102" s="11">
        <v>3364.4</v>
      </c>
      <c r="I3102" s="4" t="s">
        <v>366</v>
      </c>
      <c r="J3102" s="4" t="s">
        <v>367</v>
      </c>
      <c r="K3102" s="11">
        <v>0</v>
      </c>
      <c r="L3102" s="4"/>
      <c r="M3102" s="4"/>
      <c r="N3102" s="11">
        <v>0</v>
      </c>
      <c r="O3102" s="4"/>
      <c r="P3102" s="4"/>
      <c r="Q3102" s="11">
        <v>0</v>
      </c>
      <c r="R3102" s="4"/>
      <c r="S3102" s="12"/>
    </row>
    <row r="3103" spans="1:19" x14ac:dyDescent="0.25">
      <c r="A3103" s="9" t="s">
        <v>1106</v>
      </c>
      <c r="B3103" s="9" t="s">
        <v>1106</v>
      </c>
      <c r="C3103" s="4">
        <v>201003499</v>
      </c>
      <c r="D3103" s="4" t="s">
        <v>2503</v>
      </c>
      <c r="E3103" s="4" t="str">
        <f>"069922010"</f>
        <v>069922010</v>
      </c>
      <c r="F3103" s="10">
        <v>40316</v>
      </c>
      <c r="G3103" s="11">
        <v>19340</v>
      </c>
      <c r="H3103" s="11">
        <v>19340</v>
      </c>
      <c r="I3103" s="4" t="s">
        <v>366</v>
      </c>
      <c r="J3103" s="4" t="s">
        <v>367</v>
      </c>
      <c r="K3103" s="11">
        <v>0</v>
      </c>
      <c r="L3103" s="4"/>
      <c r="M3103" s="4"/>
      <c r="N3103" s="11">
        <v>0</v>
      </c>
      <c r="O3103" s="4"/>
      <c r="P3103" s="4"/>
      <c r="Q3103" s="11">
        <v>0</v>
      </c>
      <c r="R3103" s="4"/>
      <c r="S3103" s="12"/>
    </row>
    <row r="3104" spans="1:19" x14ac:dyDescent="0.25">
      <c r="A3104" s="9" t="s">
        <v>1106</v>
      </c>
      <c r="B3104" s="9" t="s">
        <v>195</v>
      </c>
      <c r="C3104" s="4">
        <v>201003640</v>
      </c>
      <c r="D3104" s="4"/>
      <c r="E3104" s="4" t="str">
        <f>"072292010"</f>
        <v>072292010</v>
      </c>
      <c r="F3104" s="10">
        <v>40324</v>
      </c>
      <c r="G3104" s="11">
        <v>6360.5</v>
      </c>
      <c r="H3104" s="11">
        <v>6360.5</v>
      </c>
      <c r="I3104" s="4" t="s">
        <v>366</v>
      </c>
      <c r="J3104" s="4" t="s">
        <v>367</v>
      </c>
      <c r="K3104" s="11">
        <v>0</v>
      </c>
      <c r="L3104" s="4"/>
      <c r="M3104" s="4"/>
      <c r="N3104" s="11">
        <v>0</v>
      </c>
      <c r="O3104" s="4"/>
      <c r="P3104" s="4"/>
      <c r="Q3104" s="11">
        <v>0</v>
      </c>
      <c r="R3104" s="4"/>
      <c r="S3104" s="12"/>
    </row>
    <row r="3105" spans="1:19" x14ac:dyDescent="0.25">
      <c r="A3105" s="9" t="s">
        <v>1106</v>
      </c>
      <c r="B3105" s="9" t="s">
        <v>1106</v>
      </c>
      <c r="C3105" s="4">
        <v>201003677</v>
      </c>
      <c r="D3105" s="4" t="s">
        <v>2504</v>
      </c>
      <c r="E3105" s="4" t="str">
        <f>"073012010"</f>
        <v>073012010</v>
      </c>
      <c r="F3105" s="10">
        <v>40323</v>
      </c>
      <c r="G3105" s="11">
        <v>5656.58</v>
      </c>
      <c r="H3105" s="11">
        <v>5656.58</v>
      </c>
      <c r="I3105" s="4" t="s">
        <v>366</v>
      </c>
      <c r="J3105" s="4" t="s">
        <v>367</v>
      </c>
      <c r="K3105" s="11">
        <v>0</v>
      </c>
      <c r="L3105" s="4"/>
      <c r="M3105" s="4"/>
      <c r="N3105" s="11">
        <v>0</v>
      </c>
      <c r="O3105" s="4"/>
      <c r="P3105" s="4"/>
      <c r="Q3105" s="11">
        <v>0</v>
      </c>
      <c r="R3105" s="4"/>
      <c r="S3105" s="12"/>
    </row>
    <row r="3106" spans="1:19" x14ac:dyDescent="0.25">
      <c r="A3106" s="9" t="s">
        <v>1109</v>
      </c>
      <c r="B3106" s="9" t="s">
        <v>1109</v>
      </c>
      <c r="C3106" s="4">
        <v>200905904</v>
      </c>
      <c r="D3106" s="4" t="s">
        <v>2505</v>
      </c>
      <c r="E3106" s="4" t="str">
        <f>"088162009"</f>
        <v>088162009</v>
      </c>
      <c r="F3106" s="10">
        <v>40108</v>
      </c>
      <c r="G3106" s="11">
        <v>8000</v>
      </c>
      <c r="H3106" s="11">
        <v>8000</v>
      </c>
      <c r="I3106" s="4" t="s">
        <v>366</v>
      </c>
      <c r="J3106" s="4" t="s">
        <v>367</v>
      </c>
      <c r="K3106" s="11">
        <v>0</v>
      </c>
      <c r="L3106" s="4"/>
      <c r="M3106" s="4"/>
      <c r="N3106" s="11">
        <v>0</v>
      </c>
      <c r="O3106" s="4"/>
      <c r="P3106" s="4"/>
      <c r="Q3106" s="11">
        <v>0</v>
      </c>
      <c r="R3106" s="4"/>
      <c r="S3106" s="12"/>
    </row>
    <row r="3107" spans="1:19" x14ac:dyDescent="0.25">
      <c r="A3107" s="9" t="s">
        <v>1109</v>
      </c>
      <c r="B3107" s="9" t="s">
        <v>1109</v>
      </c>
      <c r="C3107" s="4">
        <v>200905940</v>
      </c>
      <c r="D3107" s="4"/>
      <c r="E3107" s="4" t="str">
        <f>"088182009"</f>
        <v>088182009</v>
      </c>
      <c r="F3107" s="10">
        <v>40108</v>
      </c>
      <c r="G3107" s="11">
        <v>11945.17</v>
      </c>
      <c r="H3107" s="11">
        <v>11945.17</v>
      </c>
      <c r="I3107" s="4" t="s">
        <v>366</v>
      </c>
      <c r="J3107" s="4" t="s">
        <v>367</v>
      </c>
      <c r="K3107" s="11">
        <v>0</v>
      </c>
      <c r="L3107" s="4"/>
      <c r="M3107" s="4"/>
      <c r="N3107" s="11">
        <v>0</v>
      </c>
      <c r="O3107" s="4"/>
      <c r="P3107" s="4"/>
      <c r="Q3107" s="11">
        <v>0</v>
      </c>
      <c r="R3107" s="4"/>
      <c r="S3107" s="12"/>
    </row>
    <row r="3108" spans="1:19" x14ac:dyDescent="0.25">
      <c r="A3108" s="9" t="s">
        <v>1109</v>
      </c>
      <c r="B3108" s="9" t="s">
        <v>1109</v>
      </c>
      <c r="C3108" s="4">
        <v>201000274</v>
      </c>
      <c r="D3108" s="4"/>
      <c r="E3108" s="4" t="str">
        <f>"005392010"</f>
        <v>005392010</v>
      </c>
      <c r="F3108" s="10">
        <v>40109</v>
      </c>
      <c r="G3108" s="11">
        <v>4633.7</v>
      </c>
      <c r="H3108" s="11">
        <v>4633.7</v>
      </c>
      <c r="I3108" s="4" t="s">
        <v>366</v>
      </c>
      <c r="J3108" s="4" t="s">
        <v>367</v>
      </c>
      <c r="K3108" s="11">
        <v>0</v>
      </c>
      <c r="L3108" s="4"/>
      <c r="M3108" s="4"/>
      <c r="N3108" s="11">
        <v>0</v>
      </c>
      <c r="O3108" s="4"/>
      <c r="P3108" s="4"/>
      <c r="Q3108" s="11">
        <v>0</v>
      </c>
      <c r="R3108" s="4"/>
      <c r="S3108" s="12"/>
    </row>
    <row r="3109" spans="1:19" x14ac:dyDescent="0.25">
      <c r="A3109" s="9" t="s">
        <v>1109</v>
      </c>
      <c r="B3109" s="9" t="s">
        <v>1109</v>
      </c>
      <c r="C3109" s="4">
        <v>201000280</v>
      </c>
      <c r="D3109" s="4"/>
      <c r="E3109" s="4" t="str">
        <f>"005492010"</f>
        <v>005492010</v>
      </c>
      <c r="F3109" s="10">
        <v>40109</v>
      </c>
      <c r="G3109" s="11">
        <v>9278.02</v>
      </c>
      <c r="H3109" s="11">
        <v>9278.02</v>
      </c>
      <c r="I3109" s="4" t="s">
        <v>366</v>
      </c>
      <c r="J3109" s="4" t="s">
        <v>367</v>
      </c>
      <c r="K3109" s="11">
        <v>0</v>
      </c>
      <c r="L3109" s="4"/>
      <c r="M3109" s="4"/>
      <c r="N3109" s="11">
        <v>0</v>
      </c>
      <c r="O3109" s="4"/>
      <c r="P3109" s="4"/>
      <c r="Q3109" s="11">
        <v>0</v>
      </c>
      <c r="R3109" s="4"/>
      <c r="S3109" s="12"/>
    </row>
    <row r="3110" spans="1:19" x14ac:dyDescent="0.25">
      <c r="A3110" s="9" t="s">
        <v>1109</v>
      </c>
      <c r="B3110" s="9" t="s">
        <v>1109</v>
      </c>
      <c r="C3110" s="4">
        <v>201000398</v>
      </c>
      <c r="D3110" s="4"/>
      <c r="E3110" s="4" t="str">
        <f>"011712010"</f>
        <v>011712010</v>
      </c>
      <c r="F3110" s="10">
        <v>40133</v>
      </c>
      <c r="G3110" s="11">
        <v>2618.5500000000002</v>
      </c>
      <c r="H3110" s="11">
        <v>2618.5500000000002</v>
      </c>
      <c r="I3110" s="4" t="s">
        <v>366</v>
      </c>
      <c r="J3110" s="4" t="s">
        <v>367</v>
      </c>
      <c r="K3110" s="11">
        <v>0</v>
      </c>
      <c r="L3110" s="4"/>
      <c r="M3110" s="4"/>
      <c r="N3110" s="11">
        <v>0</v>
      </c>
      <c r="O3110" s="4"/>
      <c r="P3110" s="4"/>
      <c r="Q3110" s="11">
        <v>0</v>
      </c>
      <c r="R3110" s="4"/>
      <c r="S3110" s="12"/>
    </row>
    <row r="3111" spans="1:19" x14ac:dyDescent="0.25">
      <c r="A3111" s="9" t="s">
        <v>1109</v>
      </c>
      <c r="B3111" s="9" t="s">
        <v>1109</v>
      </c>
      <c r="C3111" s="4">
        <v>201000404</v>
      </c>
      <c r="D3111" s="4"/>
      <c r="E3111" s="4" t="str">
        <f>"011732010"</f>
        <v>011732010</v>
      </c>
      <c r="F3111" s="10">
        <v>40133</v>
      </c>
      <c r="G3111" s="11">
        <v>3087.24</v>
      </c>
      <c r="H3111" s="11">
        <v>3087.24</v>
      </c>
      <c r="I3111" s="4" t="s">
        <v>366</v>
      </c>
      <c r="J3111" s="4" t="s">
        <v>367</v>
      </c>
      <c r="K3111" s="11">
        <v>0</v>
      </c>
      <c r="L3111" s="4"/>
      <c r="M3111" s="4"/>
      <c r="N3111" s="11">
        <v>0</v>
      </c>
      <c r="O3111" s="4"/>
      <c r="P3111" s="4"/>
      <c r="Q3111" s="11">
        <v>0</v>
      </c>
      <c r="R3111" s="4"/>
      <c r="S3111" s="12"/>
    </row>
    <row r="3112" spans="1:19" x14ac:dyDescent="0.25">
      <c r="A3112" s="9" t="s">
        <v>1109</v>
      </c>
      <c r="B3112" s="9" t="s">
        <v>1109</v>
      </c>
      <c r="C3112" s="4">
        <v>201000415</v>
      </c>
      <c r="D3112" s="4"/>
      <c r="E3112" s="4" t="str">
        <f>"017902010"</f>
        <v>017902010</v>
      </c>
      <c r="F3112" s="10">
        <v>40150</v>
      </c>
      <c r="G3112" s="11">
        <v>3100</v>
      </c>
      <c r="H3112" s="11">
        <v>3100</v>
      </c>
      <c r="I3112" s="4" t="s">
        <v>366</v>
      </c>
      <c r="J3112" s="4" t="s">
        <v>367</v>
      </c>
      <c r="K3112" s="11">
        <v>0</v>
      </c>
      <c r="L3112" s="4"/>
      <c r="M3112" s="4"/>
      <c r="N3112" s="11">
        <v>0</v>
      </c>
      <c r="O3112" s="4"/>
      <c r="P3112" s="4"/>
      <c r="Q3112" s="11">
        <v>0</v>
      </c>
      <c r="R3112" s="4"/>
      <c r="S3112" s="12"/>
    </row>
    <row r="3113" spans="1:19" x14ac:dyDescent="0.25">
      <c r="A3113" s="9" t="s">
        <v>1109</v>
      </c>
      <c r="B3113" s="9" t="s">
        <v>1109</v>
      </c>
      <c r="C3113" s="4">
        <v>201000645</v>
      </c>
      <c r="D3113" s="4"/>
      <c r="E3113" s="4" t="str">
        <f>"013502010"</f>
        <v>013502010</v>
      </c>
      <c r="F3113" s="10">
        <v>40137</v>
      </c>
      <c r="G3113" s="11">
        <v>3111.31</v>
      </c>
      <c r="H3113" s="11">
        <v>3111.31</v>
      </c>
      <c r="I3113" s="4" t="s">
        <v>366</v>
      </c>
      <c r="J3113" s="4" t="s">
        <v>367</v>
      </c>
      <c r="K3113" s="11">
        <v>0</v>
      </c>
      <c r="L3113" s="4"/>
      <c r="M3113" s="4"/>
      <c r="N3113" s="11">
        <v>0</v>
      </c>
      <c r="O3113" s="4"/>
      <c r="P3113" s="4"/>
      <c r="Q3113" s="11">
        <v>0</v>
      </c>
      <c r="R3113" s="4"/>
      <c r="S3113" s="12"/>
    </row>
    <row r="3114" spans="1:19" x14ac:dyDescent="0.25">
      <c r="A3114" s="9" t="s">
        <v>1109</v>
      </c>
      <c r="B3114" s="9" t="s">
        <v>1109</v>
      </c>
      <c r="C3114" s="4">
        <v>201000717</v>
      </c>
      <c r="D3114" s="4"/>
      <c r="E3114" s="4" t="str">
        <f>"015142010"</f>
        <v>015142010</v>
      </c>
      <c r="F3114" s="10">
        <v>40142</v>
      </c>
      <c r="G3114" s="11">
        <v>3234.57</v>
      </c>
      <c r="H3114" s="11">
        <v>3234.57</v>
      </c>
      <c r="I3114" s="4" t="s">
        <v>366</v>
      </c>
      <c r="J3114" s="4" t="s">
        <v>367</v>
      </c>
      <c r="K3114" s="11">
        <v>0</v>
      </c>
      <c r="L3114" s="4"/>
      <c r="M3114" s="4"/>
      <c r="N3114" s="11">
        <v>0</v>
      </c>
      <c r="O3114" s="4"/>
      <c r="P3114" s="4"/>
      <c r="Q3114" s="11">
        <v>0</v>
      </c>
      <c r="R3114" s="4"/>
      <c r="S3114" s="12"/>
    </row>
    <row r="3115" spans="1:19" x14ac:dyDescent="0.25">
      <c r="A3115" s="9" t="s">
        <v>1109</v>
      </c>
      <c r="B3115" s="9" t="s">
        <v>1109</v>
      </c>
      <c r="C3115" s="4">
        <v>201001341</v>
      </c>
      <c r="D3115" s="4"/>
      <c r="E3115" s="4" t="str">
        <f>"033762010"</f>
        <v>033762010</v>
      </c>
      <c r="F3115" s="10">
        <v>40204</v>
      </c>
      <c r="G3115" s="11">
        <v>3926.69</v>
      </c>
      <c r="H3115" s="11">
        <v>3926.69</v>
      </c>
      <c r="I3115" s="4" t="s">
        <v>366</v>
      </c>
      <c r="J3115" s="4" t="s">
        <v>367</v>
      </c>
      <c r="K3115" s="11">
        <v>0</v>
      </c>
      <c r="L3115" s="4"/>
      <c r="M3115" s="4"/>
      <c r="N3115" s="11">
        <v>0</v>
      </c>
      <c r="O3115" s="4"/>
      <c r="P3115" s="4"/>
      <c r="Q3115" s="11">
        <v>0</v>
      </c>
      <c r="R3115" s="4"/>
      <c r="S3115" s="12"/>
    </row>
    <row r="3116" spans="1:19" x14ac:dyDescent="0.25">
      <c r="A3116" s="9" t="s">
        <v>1109</v>
      </c>
      <c r="B3116" s="9" t="s">
        <v>1109</v>
      </c>
      <c r="C3116" s="4">
        <v>201001623</v>
      </c>
      <c r="D3116" s="4"/>
      <c r="E3116" s="4" t="str">
        <f>"037682010"</f>
        <v>037682010</v>
      </c>
      <c r="F3116" s="10">
        <v>40214</v>
      </c>
      <c r="G3116" s="11">
        <v>5531.93</v>
      </c>
      <c r="H3116" s="11">
        <v>5531.93</v>
      </c>
      <c r="I3116" s="4" t="s">
        <v>366</v>
      </c>
      <c r="J3116" s="4" t="s">
        <v>367</v>
      </c>
      <c r="K3116" s="11">
        <v>0</v>
      </c>
      <c r="L3116" s="4"/>
      <c r="M3116" s="4"/>
      <c r="N3116" s="11">
        <v>0</v>
      </c>
      <c r="O3116" s="4"/>
      <c r="P3116" s="4"/>
      <c r="Q3116" s="11">
        <v>0</v>
      </c>
      <c r="R3116" s="4"/>
      <c r="S3116" s="12"/>
    </row>
    <row r="3117" spans="1:19" x14ac:dyDescent="0.25">
      <c r="A3117" s="9" t="s">
        <v>1109</v>
      </c>
      <c r="B3117" s="9" t="s">
        <v>1109</v>
      </c>
      <c r="C3117" s="4">
        <v>201002299</v>
      </c>
      <c r="D3117" s="4"/>
      <c r="E3117" s="4" t="str">
        <f>"048642010"</f>
        <v>048642010</v>
      </c>
      <c r="F3117" s="10">
        <v>40255</v>
      </c>
      <c r="G3117" s="11">
        <v>2732.76</v>
      </c>
      <c r="H3117" s="11">
        <v>2732.76</v>
      </c>
      <c r="I3117" s="4" t="s">
        <v>366</v>
      </c>
      <c r="J3117" s="4" t="s">
        <v>367</v>
      </c>
      <c r="K3117" s="11">
        <v>0</v>
      </c>
      <c r="L3117" s="4"/>
      <c r="M3117" s="4"/>
      <c r="N3117" s="11">
        <v>0</v>
      </c>
      <c r="O3117" s="4"/>
      <c r="P3117" s="4"/>
      <c r="Q3117" s="11">
        <v>0</v>
      </c>
      <c r="R3117" s="4"/>
      <c r="S3117" s="12"/>
    </row>
    <row r="3118" spans="1:19" x14ac:dyDescent="0.25">
      <c r="A3118" s="9" t="s">
        <v>1109</v>
      </c>
      <c r="B3118" s="9" t="s">
        <v>1109</v>
      </c>
      <c r="C3118" s="4">
        <v>201002310</v>
      </c>
      <c r="D3118" s="4" t="s">
        <v>2506</v>
      </c>
      <c r="E3118" s="4" t="str">
        <f>"056452010"</f>
        <v>056452010</v>
      </c>
      <c r="F3118" s="10">
        <v>40276</v>
      </c>
      <c r="G3118" s="11">
        <v>18000</v>
      </c>
      <c r="H3118" s="11">
        <v>18000</v>
      </c>
      <c r="I3118" s="4" t="s">
        <v>366</v>
      </c>
      <c r="J3118" s="4" t="s">
        <v>367</v>
      </c>
      <c r="K3118" s="11">
        <v>0</v>
      </c>
      <c r="L3118" s="4"/>
      <c r="M3118" s="4"/>
      <c r="N3118" s="11">
        <v>0</v>
      </c>
      <c r="O3118" s="4"/>
      <c r="P3118" s="4"/>
      <c r="Q3118" s="11">
        <v>0</v>
      </c>
      <c r="R3118" s="4"/>
      <c r="S3118" s="12"/>
    </row>
    <row r="3119" spans="1:19" x14ac:dyDescent="0.25">
      <c r="A3119" s="9" t="s">
        <v>1109</v>
      </c>
      <c r="B3119" s="9" t="s">
        <v>1109</v>
      </c>
      <c r="C3119" s="4">
        <v>201002313</v>
      </c>
      <c r="D3119" s="4" t="s">
        <v>2507</v>
      </c>
      <c r="E3119" s="4" t="str">
        <f>"056412010"</f>
        <v>056412010</v>
      </c>
      <c r="F3119" s="10">
        <v>40281</v>
      </c>
      <c r="G3119" s="11">
        <v>6500</v>
      </c>
      <c r="H3119" s="11">
        <v>6500</v>
      </c>
      <c r="I3119" s="4" t="s">
        <v>366</v>
      </c>
      <c r="J3119" s="4" t="s">
        <v>367</v>
      </c>
      <c r="K3119" s="11">
        <v>0</v>
      </c>
      <c r="L3119" s="4"/>
      <c r="M3119" s="4"/>
      <c r="N3119" s="11">
        <v>0</v>
      </c>
      <c r="O3119" s="4"/>
      <c r="P3119" s="4"/>
      <c r="Q3119" s="11">
        <v>0</v>
      </c>
      <c r="R3119" s="4"/>
      <c r="S3119" s="12"/>
    </row>
    <row r="3120" spans="1:19" x14ac:dyDescent="0.25">
      <c r="A3120" s="9" t="s">
        <v>1109</v>
      </c>
      <c r="B3120" s="9" t="s">
        <v>1109</v>
      </c>
      <c r="C3120" s="4">
        <v>201002806</v>
      </c>
      <c r="D3120" s="4"/>
      <c r="E3120" s="4" t="str">
        <f>"058752010"</f>
        <v>058752010</v>
      </c>
      <c r="F3120" s="10">
        <v>40283</v>
      </c>
      <c r="G3120" s="11">
        <v>2966.16</v>
      </c>
      <c r="H3120" s="11">
        <v>2966.16</v>
      </c>
      <c r="I3120" s="4" t="s">
        <v>366</v>
      </c>
      <c r="J3120" s="4" t="s">
        <v>367</v>
      </c>
      <c r="K3120" s="11">
        <v>0</v>
      </c>
      <c r="L3120" s="4"/>
      <c r="M3120" s="4"/>
      <c r="N3120" s="11">
        <v>0</v>
      </c>
      <c r="O3120" s="4"/>
      <c r="P3120" s="4"/>
      <c r="Q3120" s="11">
        <v>0</v>
      </c>
      <c r="R3120" s="4"/>
      <c r="S3120" s="12"/>
    </row>
    <row r="3121" spans="1:19" x14ac:dyDescent="0.25">
      <c r="A3121" s="9" t="s">
        <v>1109</v>
      </c>
      <c r="B3121" s="9" t="s">
        <v>1109</v>
      </c>
      <c r="C3121" s="4">
        <v>201002866</v>
      </c>
      <c r="D3121" s="4"/>
      <c r="E3121" s="4" t="str">
        <f>"058772010"</f>
        <v>058772010</v>
      </c>
      <c r="F3121" s="10">
        <v>40283</v>
      </c>
      <c r="G3121" s="11">
        <v>6440.52</v>
      </c>
      <c r="H3121" s="11">
        <v>6440.52</v>
      </c>
      <c r="I3121" s="4" t="s">
        <v>366</v>
      </c>
      <c r="J3121" s="4" t="s">
        <v>367</v>
      </c>
      <c r="K3121" s="11">
        <v>0</v>
      </c>
      <c r="L3121" s="4"/>
      <c r="M3121" s="4"/>
      <c r="N3121" s="11">
        <v>0</v>
      </c>
      <c r="O3121" s="4"/>
      <c r="P3121" s="4"/>
      <c r="Q3121" s="11">
        <v>0</v>
      </c>
      <c r="R3121" s="4"/>
      <c r="S3121" s="12"/>
    </row>
    <row r="3122" spans="1:19" x14ac:dyDescent="0.25">
      <c r="A3122" s="9" t="s">
        <v>1109</v>
      </c>
      <c r="B3122" s="9" t="s">
        <v>1109</v>
      </c>
      <c r="C3122" s="4">
        <v>201003298</v>
      </c>
      <c r="D3122" s="4"/>
      <c r="E3122" s="4" t="str">
        <f>"067382010"</f>
        <v>067382010</v>
      </c>
      <c r="F3122" s="10">
        <v>40310</v>
      </c>
      <c r="G3122" s="11">
        <v>8041.43</v>
      </c>
      <c r="H3122" s="11">
        <v>8041.43</v>
      </c>
      <c r="I3122" s="4" t="s">
        <v>366</v>
      </c>
      <c r="J3122" s="4" t="s">
        <v>367</v>
      </c>
      <c r="K3122" s="11">
        <v>0</v>
      </c>
      <c r="L3122" s="4"/>
      <c r="M3122" s="4"/>
      <c r="N3122" s="11">
        <v>0</v>
      </c>
      <c r="O3122" s="4"/>
      <c r="P3122" s="4"/>
      <c r="Q3122" s="11">
        <v>0</v>
      </c>
      <c r="R3122" s="4"/>
      <c r="S3122" s="12"/>
    </row>
    <row r="3123" spans="1:19" x14ac:dyDescent="0.25">
      <c r="A3123" s="9" t="s">
        <v>1109</v>
      </c>
      <c r="B3123" s="9" t="s">
        <v>1109</v>
      </c>
      <c r="C3123" s="4">
        <v>201003588</v>
      </c>
      <c r="D3123" s="4" t="s">
        <v>2508</v>
      </c>
      <c r="E3123" s="4" t="str">
        <f>"090882010"</f>
        <v>090882010</v>
      </c>
      <c r="F3123" s="10">
        <v>40367</v>
      </c>
      <c r="G3123" s="11">
        <v>8000</v>
      </c>
      <c r="H3123" s="11">
        <v>8000</v>
      </c>
      <c r="I3123" s="4" t="s">
        <v>366</v>
      </c>
      <c r="J3123" s="4" t="s">
        <v>367</v>
      </c>
      <c r="K3123" s="11">
        <v>0</v>
      </c>
      <c r="L3123" s="4"/>
      <c r="M3123" s="4"/>
      <c r="N3123" s="11">
        <v>0</v>
      </c>
      <c r="O3123" s="4"/>
      <c r="P3123" s="4"/>
      <c r="Q3123" s="11">
        <v>0</v>
      </c>
      <c r="R3123" s="4"/>
      <c r="S3123" s="12"/>
    </row>
    <row r="3124" spans="1:19" x14ac:dyDescent="0.25">
      <c r="A3124" s="9" t="s">
        <v>1109</v>
      </c>
      <c r="B3124" s="9" t="s">
        <v>1109</v>
      </c>
      <c r="C3124" s="4">
        <v>201003998</v>
      </c>
      <c r="D3124" s="4" t="s">
        <v>2509</v>
      </c>
      <c r="E3124" s="4" t="str">
        <f>"086362010"</f>
        <v>086362010</v>
      </c>
      <c r="F3124" s="10">
        <v>40357</v>
      </c>
      <c r="G3124" s="11">
        <v>4572</v>
      </c>
      <c r="H3124" s="11">
        <v>4572</v>
      </c>
      <c r="I3124" s="4" t="s">
        <v>366</v>
      </c>
      <c r="J3124" s="4" t="s">
        <v>367</v>
      </c>
      <c r="K3124" s="11">
        <v>0</v>
      </c>
      <c r="L3124" s="4"/>
      <c r="M3124" s="4"/>
      <c r="N3124" s="11">
        <v>0</v>
      </c>
      <c r="O3124" s="4"/>
      <c r="P3124" s="4"/>
      <c r="Q3124" s="11">
        <v>0</v>
      </c>
      <c r="R3124" s="4"/>
      <c r="S3124" s="12"/>
    </row>
    <row r="3125" spans="1:19" x14ac:dyDescent="0.25">
      <c r="A3125" s="9" t="s">
        <v>1109</v>
      </c>
      <c r="B3125" s="9" t="s">
        <v>1109</v>
      </c>
      <c r="C3125" s="4">
        <v>201004100</v>
      </c>
      <c r="D3125" s="4"/>
      <c r="E3125" s="4" t="str">
        <f>"085442010"</f>
        <v>085442010</v>
      </c>
      <c r="F3125" s="10">
        <v>40353</v>
      </c>
      <c r="G3125" s="11">
        <v>3819.15</v>
      </c>
      <c r="H3125" s="11">
        <v>3819.15</v>
      </c>
      <c r="I3125" s="4" t="s">
        <v>366</v>
      </c>
      <c r="J3125" s="4" t="s">
        <v>367</v>
      </c>
      <c r="K3125" s="11">
        <v>0</v>
      </c>
      <c r="L3125" s="4"/>
      <c r="M3125" s="4"/>
      <c r="N3125" s="11">
        <v>0</v>
      </c>
      <c r="O3125" s="4"/>
      <c r="P3125" s="4"/>
      <c r="Q3125" s="11">
        <v>0</v>
      </c>
      <c r="R3125" s="4"/>
      <c r="S3125" s="12"/>
    </row>
    <row r="3126" spans="1:19" x14ac:dyDescent="0.25">
      <c r="A3126" s="9" t="s">
        <v>1109</v>
      </c>
      <c r="B3126" s="9" t="s">
        <v>1109</v>
      </c>
      <c r="C3126" s="4">
        <v>201004442</v>
      </c>
      <c r="D3126" s="4"/>
      <c r="E3126" s="4" t="str">
        <f>"089382010"</f>
        <v>089382010</v>
      </c>
      <c r="F3126" s="10">
        <v>40366</v>
      </c>
      <c r="G3126" s="11">
        <v>3524.18</v>
      </c>
      <c r="H3126" s="11">
        <v>3524.18</v>
      </c>
      <c r="I3126" s="4" t="s">
        <v>366</v>
      </c>
      <c r="J3126" s="4" t="s">
        <v>367</v>
      </c>
      <c r="K3126" s="11">
        <v>0</v>
      </c>
      <c r="L3126" s="4"/>
      <c r="M3126" s="4"/>
      <c r="N3126" s="11">
        <v>0</v>
      </c>
      <c r="O3126" s="4"/>
      <c r="P3126" s="4"/>
      <c r="Q3126" s="11">
        <v>0</v>
      </c>
      <c r="R3126" s="4"/>
      <c r="S3126" s="12"/>
    </row>
    <row r="3127" spans="1:19" x14ac:dyDescent="0.25">
      <c r="A3127" s="9" t="s">
        <v>1109</v>
      </c>
      <c r="B3127" s="9" t="s">
        <v>1109</v>
      </c>
      <c r="C3127" s="4">
        <v>201004443</v>
      </c>
      <c r="D3127" s="4"/>
      <c r="E3127" s="4" t="str">
        <f>"091142010"</f>
        <v>091142010</v>
      </c>
      <c r="F3127" s="10">
        <v>40368</v>
      </c>
      <c r="G3127" s="11">
        <v>13978.31</v>
      </c>
      <c r="H3127" s="11">
        <v>13978.31</v>
      </c>
      <c r="I3127" s="4" t="s">
        <v>366</v>
      </c>
      <c r="J3127" s="4" t="s">
        <v>367</v>
      </c>
      <c r="K3127" s="11">
        <v>0</v>
      </c>
      <c r="L3127" s="4"/>
      <c r="M3127" s="4"/>
      <c r="N3127" s="11">
        <v>0</v>
      </c>
      <c r="O3127" s="4"/>
      <c r="P3127" s="4"/>
      <c r="Q3127" s="11">
        <v>0</v>
      </c>
      <c r="R3127" s="4"/>
      <c r="S3127" s="12"/>
    </row>
    <row r="3128" spans="1:19" x14ac:dyDescent="0.25">
      <c r="A3128" s="9" t="s">
        <v>1109</v>
      </c>
      <c r="B3128" s="9" t="s">
        <v>1109</v>
      </c>
      <c r="C3128" s="4">
        <v>201004890</v>
      </c>
      <c r="D3128" s="4"/>
      <c r="E3128" s="4" t="str">
        <f>"098742010"</f>
        <v>098742010</v>
      </c>
      <c r="F3128" s="10">
        <v>40394</v>
      </c>
      <c r="G3128" s="11">
        <v>4000</v>
      </c>
      <c r="H3128" s="11">
        <v>4000</v>
      </c>
      <c r="I3128" s="4" t="s">
        <v>366</v>
      </c>
      <c r="J3128" s="4" t="s">
        <v>367</v>
      </c>
      <c r="K3128" s="11">
        <v>0</v>
      </c>
      <c r="L3128" s="4"/>
      <c r="M3128" s="4"/>
      <c r="N3128" s="11">
        <v>0</v>
      </c>
      <c r="O3128" s="4"/>
      <c r="P3128" s="4"/>
      <c r="Q3128" s="11">
        <v>0</v>
      </c>
      <c r="R3128" s="4"/>
      <c r="S3128" s="12"/>
    </row>
    <row r="3129" spans="1:19" x14ac:dyDescent="0.25">
      <c r="A3129" s="9" t="s">
        <v>1109</v>
      </c>
      <c r="B3129" s="9" t="s">
        <v>1109</v>
      </c>
      <c r="C3129" s="4">
        <v>201004903</v>
      </c>
      <c r="D3129" s="4"/>
      <c r="E3129" s="4" t="str">
        <f>"099942010"</f>
        <v>099942010</v>
      </c>
      <c r="F3129" s="10">
        <v>40401</v>
      </c>
      <c r="G3129" s="11">
        <v>3810.99</v>
      </c>
      <c r="H3129" s="11">
        <v>3810.99</v>
      </c>
      <c r="I3129" s="4" t="s">
        <v>366</v>
      </c>
      <c r="J3129" s="4" t="s">
        <v>367</v>
      </c>
      <c r="K3129" s="11">
        <v>0</v>
      </c>
      <c r="L3129" s="4"/>
      <c r="M3129" s="4"/>
      <c r="N3129" s="11">
        <v>0</v>
      </c>
      <c r="O3129" s="4"/>
      <c r="P3129" s="4"/>
      <c r="Q3129" s="11">
        <v>0</v>
      </c>
      <c r="R3129" s="4"/>
      <c r="S3129" s="12"/>
    </row>
    <row r="3130" spans="1:19" x14ac:dyDescent="0.25">
      <c r="A3130" s="9" t="s">
        <v>1109</v>
      </c>
      <c r="B3130" s="9" t="s">
        <v>1109</v>
      </c>
      <c r="C3130" s="4">
        <v>201004962</v>
      </c>
      <c r="D3130" s="4"/>
      <c r="E3130" s="4" t="str">
        <f>"101732010"</f>
        <v>101732010</v>
      </c>
      <c r="F3130" s="10">
        <v>40408</v>
      </c>
      <c r="G3130" s="11">
        <v>7500</v>
      </c>
      <c r="H3130" s="11">
        <v>7500</v>
      </c>
      <c r="I3130" s="4" t="s">
        <v>366</v>
      </c>
      <c r="J3130" s="4" t="s">
        <v>367</v>
      </c>
      <c r="K3130" s="11">
        <v>0</v>
      </c>
      <c r="L3130" s="4"/>
      <c r="M3130" s="4"/>
      <c r="N3130" s="11">
        <v>0</v>
      </c>
      <c r="O3130" s="4"/>
      <c r="P3130" s="4"/>
      <c r="Q3130" s="11">
        <v>0</v>
      </c>
      <c r="R3130" s="4"/>
      <c r="S3130" s="12"/>
    </row>
    <row r="3131" spans="1:19" x14ac:dyDescent="0.25">
      <c r="A3131" s="9" t="s">
        <v>1109</v>
      </c>
      <c r="B3131" s="9" t="s">
        <v>1109</v>
      </c>
      <c r="C3131" s="4">
        <v>201005007</v>
      </c>
      <c r="D3131" s="4"/>
      <c r="E3131" s="4" t="str">
        <f>"101712010"</f>
        <v>101712010</v>
      </c>
      <c r="F3131" s="10">
        <v>40407</v>
      </c>
      <c r="G3131" s="11">
        <v>6005.92</v>
      </c>
      <c r="H3131" s="11">
        <v>6005.92</v>
      </c>
      <c r="I3131" s="4" t="s">
        <v>366</v>
      </c>
      <c r="J3131" s="4" t="s">
        <v>367</v>
      </c>
      <c r="K3131" s="11">
        <v>0</v>
      </c>
      <c r="L3131" s="4"/>
      <c r="M3131" s="4"/>
      <c r="N3131" s="11">
        <v>0</v>
      </c>
      <c r="O3131" s="4"/>
      <c r="P3131" s="4"/>
      <c r="Q3131" s="11">
        <v>0</v>
      </c>
      <c r="R3131" s="4"/>
      <c r="S3131" s="12"/>
    </row>
    <row r="3132" spans="1:19" x14ac:dyDescent="0.25">
      <c r="A3132" s="9" t="s">
        <v>1109</v>
      </c>
      <c r="B3132" s="9" t="s">
        <v>1109</v>
      </c>
      <c r="C3132" s="4">
        <v>201005394</v>
      </c>
      <c r="D3132" s="4" t="s">
        <v>2510</v>
      </c>
      <c r="E3132" s="4" t="str">
        <f>"114232010"</f>
        <v>114232010</v>
      </c>
      <c r="F3132" s="10">
        <v>40449</v>
      </c>
      <c r="G3132" s="11">
        <v>22000</v>
      </c>
      <c r="H3132" s="11">
        <v>22000</v>
      </c>
      <c r="I3132" s="4" t="s">
        <v>366</v>
      </c>
      <c r="J3132" s="4" t="s">
        <v>367</v>
      </c>
      <c r="K3132" s="11">
        <v>0</v>
      </c>
      <c r="L3132" s="4"/>
      <c r="M3132" s="4"/>
      <c r="N3132" s="11">
        <v>0</v>
      </c>
      <c r="O3132" s="4"/>
      <c r="P3132" s="4"/>
      <c r="Q3132" s="11">
        <v>0</v>
      </c>
      <c r="R3132" s="4"/>
      <c r="S3132" s="12"/>
    </row>
    <row r="3133" spans="1:19" x14ac:dyDescent="0.25">
      <c r="A3133" s="9" t="s">
        <v>1109</v>
      </c>
      <c r="B3133" s="9" t="s">
        <v>1109</v>
      </c>
      <c r="C3133" s="4">
        <v>201005395</v>
      </c>
      <c r="D3133" s="4"/>
      <c r="E3133" s="4" t="str">
        <f>"114252010"</f>
        <v>114252010</v>
      </c>
      <c r="F3133" s="10">
        <v>40449</v>
      </c>
      <c r="G3133" s="11">
        <v>0</v>
      </c>
      <c r="H3133" s="11">
        <v>3502.98</v>
      </c>
      <c r="I3133" s="4" t="s">
        <v>366</v>
      </c>
      <c r="J3133" s="4" t="s">
        <v>367</v>
      </c>
      <c r="K3133" s="11">
        <v>0</v>
      </c>
      <c r="L3133" s="4"/>
      <c r="M3133" s="4"/>
      <c r="N3133" s="11">
        <v>0</v>
      </c>
      <c r="O3133" s="4"/>
      <c r="P3133" s="4"/>
      <c r="Q3133" s="11">
        <v>0</v>
      </c>
      <c r="R3133" s="4"/>
      <c r="S3133" s="12"/>
    </row>
    <row r="3134" spans="1:19" x14ac:dyDescent="0.25">
      <c r="A3134" s="9" t="s">
        <v>1109</v>
      </c>
      <c r="B3134" s="9" t="s">
        <v>1109</v>
      </c>
      <c r="C3134" s="4">
        <v>201005397</v>
      </c>
      <c r="D3134" s="4" t="s">
        <v>2511</v>
      </c>
      <c r="E3134" s="4" t="str">
        <f>"114272010"</f>
        <v>114272010</v>
      </c>
      <c r="F3134" s="10">
        <v>40449</v>
      </c>
      <c r="G3134" s="11">
        <v>6000</v>
      </c>
      <c r="H3134" s="11">
        <v>6000</v>
      </c>
      <c r="I3134" s="4" t="s">
        <v>366</v>
      </c>
      <c r="J3134" s="4" t="s">
        <v>367</v>
      </c>
      <c r="K3134" s="11">
        <v>0</v>
      </c>
      <c r="L3134" s="4"/>
      <c r="M3134" s="4"/>
      <c r="N3134" s="11">
        <v>0</v>
      </c>
      <c r="O3134" s="4"/>
      <c r="P3134" s="4"/>
      <c r="Q3134" s="11">
        <v>0</v>
      </c>
      <c r="R3134" s="4"/>
      <c r="S3134" s="12"/>
    </row>
    <row r="3135" spans="1:19" x14ac:dyDescent="0.25">
      <c r="A3135" s="9" t="s">
        <v>1109</v>
      </c>
      <c r="B3135" s="9" t="s">
        <v>1109</v>
      </c>
      <c r="C3135" s="4">
        <v>201005400</v>
      </c>
      <c r="D3135" s="4" t="s">
        <v>2512</v>
      </c>
      <c r="E3135" s="4" t="str">
        <f>"114312010"</f>
        <v>114312010</v>
      </c>
      <c r="F3135" s="10">
        <v>40449</v>
      </c>
      <c r="G3135" s="11">
        <v>4785.59</v>
      </c>
      <c r="H3135" s="11">
        <v>4785.59</v>
      </c>
      <c r="I3135" s="4" t="s">
        <v>366</v>
      </c>
      <c r="J3135" s="4" t="s">
        <v>367</v>
      </c>
      <c r="K3135" s="11">
        <v>0</v>
      </c>
      <c r="L3135" s="4"/>
      <c r="M3135" s="4"/>
      <c r="N3135" s="11">
        <v>0</v>
      </c>
      <c r="O3135" s="4"/>
      <c r="P3135" s="4"/>
      <c r="Q3135" s="11">
        <v>0</v>
      </c>
      <c r="R3135" s="4"/>
      <c r="S3135" s="12"/>
    </row>
    <row r="3136" spans="1:19" x14ac:dyDescent="0.25">
      <c r="A3136" s="9" t="s">
        <v>1114</v>
      </c>
      <c r="B3136" s="9" t="s">
        <v>1114</v>
      </c>
      <c r="C3136" s="4">
        <v>201003098</v>
      </c>
      <c r="D3136" s="4" t="s">
        <v>2513</v>
      </c>
      <c r="E3136" s="4" t="str">
        <f>"061582010"</f>
        <v>061582010</v>
      </c>
      <c r="F3136" s="10">
        <v>40291</v>
      </c>
      <c r="G3136" s="11">
        <v>15000</v>
      </c>
      <c r="H3136" s="11">
        <v>15000</v>
      </c>
      <c r="I3136" s="4" t="s">
        <v>366</v>
      </c>
      <c r="J3136" s="4" t="s">
        <v>367</v>
      </c>
      <c r="K3136" s="11">
        <v>0</v>
      </c>
      <c r="L3136" s="4"/>
      <c r="M3136" s="4"/>
      <c r="N3136" s="11">
        <v>0</v>
      </c>
      <c r="O3136" s="4"/>
      <c r="P3136" s="4"/>
      <c r="Q3136" s="11">
        <v>0</v>
      </c>
      <c r="R3136" s="4"/>
      <c r="S3136" s="12"/>
    </row>
    <row r="3137" spans="1:19" x14ac:dyDescent="0.25">
      <c r="A3137" s="9" t="s">
        <v>1114</v>
      </c>
      <c r="B3137" s="9" t="s">
        <v>1114</v>
      </c>
      <c r="C3137" s="4">
        <v>201003099</v>
      </c>
      <c r="D3137" s="4"/>
      <c r="E3137" s="4" t="str">
        <f>"061562010"</f>
        <v>061562010</v>
      </c>
      <c r="F3137" s="10">
        <v>40291</v>
      </c>
      <c r="G3137" s="11">
        <v>4918.99</v>
      </c>
      <c r="H3137" s="11">
        <v>4918.99</v>
      </c>
      <c r="I3137" s="4" t="s">
        <v>366</v>
      </c>
      <c r="J3137" s="4" t="s">
        <v>367</v>
      </c>
      <c r="K3137" s="11">
        <v>0</v>
      </c>
      <c r="L3137" s="4"/>
      <c r="M3137" s="4"/>
      <c r="N3137" s="11">
        <v>0</v>
      </c>
      <c r="O3137" s="4"/>
      <c r="P3137" s="4"/>
      <c r="Q3137" s="11">
        <v>0</v>
      </c>
      <c r="R3137" s="4"/>
      <c r="S3137" s="12"/>
    </row>
    <row r="3138" spans="1:19" x14ac:dyDescent="0.25">
      <c r="A3138" s="9" t="s">
        <v>1114</v>
      </c>
      <c r="B3138" s="9" t="s">
        <v>1114</v>
      </c>
      <c r="C3138" s="4">
        <v>201004139</v>
      </c>
      <c r="D3138" s="4" t="s">
        <v>2514</v>
      </c>
      <c r="E3138" s="4" t="str">
        <f>"082022010"</f>
        <v>082022010</v>
      </c>
      <c r="F3138" s="10">
        <v>40347</v>
      </c>
      <c r="G3138" s="11">
        <v>30000</v>
      </c>
      <c r="H3138" s="11">
        <v>30000</v>
      </c>
      <c r="I3138" s="4" t="s">
        <v>366</v>
      </c>
      <c r="J3138" s="4" t="s">
        <v>367</v>
      </c>
      <c r="K3138" s="11">
        <v>0</v>
      </c>
      <c r="L3138" s="4"/>
      <c r="M3138" s="4"/>
      <c r="N3138" s="11">
        <v>0</v>
      </c>
      <c r="O3138" s="4"/>
      <c r="P3138" s="4"/>
      <c r="Q3138" s="11">
        <v>0</v>
      </c>
      <c r="R3138" s="4"/>
      <c r="S3138" s="12"/>
    </row>
    <row r="3139" spans="1:19" x14ac:dyDescent="0.25">
      <c r="A3139" s="9" t="s">
        <v>1114</v>
      </c>
      <c r="B3139" s="9" t="s">
        <v>1114</v>
      </c>
      <c r="C3139" s="4">
        <v>201004164</v>
      </c>
      <c r="D3139" s="4" t="s">
        <v>2515</v>
      </c>
      <c r="E3139" s="4" t="str">
        <f>"082432010"</f>
        <v>082432010</v>
      </c>
      <c r="F3139" s="10">
        <v>40347</v>
      </c>
      <c r="G3139" s="11">
        <v>3742.67</v>
      </c>
      <c r="H3139" s="11">
        <v>3742.67</v>
      </c>
      <c r="I3139" s="4" t="s">
        <v>366</v>
      </c>
      <c r="J3139" s="4" t="s">
        <v>367</v>
      </c>
      <c r="K3139" s="11">
        <v>0</v>
      </c>
      <c r="L3139" s="4"/>
      <c r="M3139" s="4"/>
      <c r="N3139" s="11">
        <v>0</v>
      </c>
      <c r="O3139" s="4"/>
      <c r="P3139" s="4"/>
      <c r="Q3139" s="11">
        <v>0</v>
      </c>
      <c r="R3139" s="4"/>
      <c r="S3139" s="12"/>
    </row>
    <row r="3140" spans="1:19" x14ac:dyDescent="0.25">
      <c r="A3140" s="9" t="s">
        <v>1117</v>
      </c>
      <c r="B3140" s="9" t="s">
        <v>291</v>
      </c>
      <c r="C3140" s="4">
        <v>200804764</v>
      </c>
      <c r="D3140" s="4" t="s">
        <v>1151</v>
      </c>
      <c r="E3140" s="4" t="str">
        <f>"037822008"</f>
        <v>037822008</v>
      </c>
      <c r="F3140" s="10">
        <v>40246</v>
      </c>
      <c r="G3140" s="11">
        <v>366.14</v>
      </c>
      <c r="H3140" s="11">
        <v>0</v>
      </c>
      <c r="I3140" s="4"/>
      <c r="J3140" s="4"/>
      <c r="K3140" s="11">
        <v>0</v>
      </c>
      <c r="L3140" s="4"/>
      <c r="M3140" s="4"/>
      <c r="N3140" s="11">
        <v>366.14</v>
      </c>
      <c r="O3140" s="4" t="s">
        <v>56</v>
      </c>
      <c r="P3140" s="4" t="s">
        <v>57</v>
      </c>
      <c r="Q3140" s="11">
        <v>0</v>
      </c>
      <c r="R3140" s="4"/>
      <c r="S3140" s="12"/>
    </row>
    <row r="3141" spans="1:19" x14ac:dyDescent="0.25">
      <c r="A3141" s="9" t="s">
        <v>1117</v>
      </c>
      <c r="B3141" s="9" t="s">
        <v>291</v>
      </c>
      <c r="C3141" s="4">
        <v>201000077</v>
      </c>
      <c r="D3141" s="4" t="s">
        <v>1212</v>
      </c>
      <c r="E3141" s="4" t="str">
        <f>"001262010"</f>
        <v>001262010</v>
      </c>
      <c r="F3141" s="10">
        <v>40094</v>
      </c>
      <c r="G3141" s="11">
        <v>350</v>
      </c>
      <c r="H3141" s="11">
        <v>0</v>
      </c>
      <c r="I3141" s="4"/>
      <c r="J3141" s="4"/>
      <c r="K3141" s="11">
        <v>0</v>
      </c>
      <c r="L3141" s="4"/>
      <c r="M3141" s="4"/>
      <c r="N3141" s="11">
        <v>350</v>
      </c>
      <c r="O3141" s="4" t="s">
        <v>56</v>
      </c>
      <c r="P3141" s="4" t="s">
        <v>57</v>
      </c>
      <c r="Q3141" s="11">
        <v>0</v>
      </c>
      <c r="R3141" s="4"/>
      <c r="S3141" s="12"/>
    </row>
    <row r="3142" spans="1:19" x14ac:dyDescent="0.25">
      <c r="A3142" s="9" t="s">
        <v>1117</v>
      </c>
      <c r="B3142" s="9" t="s">
        <v>291</v>
      </c>
      <c r="C3142" s="4">
        <v>201000522</v>
      </c>
      <c r="D3142" s="4" t="s">
        <v>2516</v>
      </c>
      <c r="E3142" s="4" t="str">
        <f>"009312010"</f>
        <v>009312010</v>
      </c>
      <c r="F3142" s="10">
        <v>40123</v>
      </c>
      <c r="G3142" s="11">
        <v>350</v>
      </c>
      <c r="H3142" s="11">
        <v>0</v>
      </c>
      <c r="I3142" s="4"/>
      <c r="J3142" s="4"/>
      <c r="K3142" s="11">
        <v>0</v>
      </c>
      <c r="L3142" s="4"/>
      <c r="M3142" s="4"/>
      <c r="N3142" s="11">
        <v>350</v>
      </c>
      <c r="O3142" s="4" t="s">
        <v>56</v>
      </c>
      <c r="P3142" s="4" t="s">
        <v>57</v>
      </c>
      <c r="Q3142" s="11">
        <v>0</v>
      </c>
      <c r="R3142" s="4"/>
      <c r="S3142" s="12"/>
    </row>
    <row r="3143" spans="1:19" x14ac:dyDescent="0.25">
      <c r="A3143" s="9" t="s">
        <v>1117</v>
      </c>
      <c r="B3143" s="9" t="s">
        <v>291</v>
      </c>
      <c r="C3143" s="4">
        <v>201000552</v>
      </c>
      <c r="D3143" s="4" t="s">
        <v>2517</v>
      </c>
      <c r="E3143" s="4" t="str">
        <f>"010092010"</f>
        <v>010092010</v>
      </c>
      <c r="F3143" s="10">
        <v>40123</v>
      </c>
      <c r="G3143" s="11">
        <v>375</v>
      </c>
      <c r="H3143" s="11">
        <v>0</v>
      </c>
      <c r="I3143" s="4"/>
      <c r="J3143" s="4"/>
      <c r="K3143" s="11">
        <v>0</v>
      </c>
      <c r="L3143" s="4"/>
      <c r="M3143" s="4"/>
      <c r="N3143" s="11">
        <v>375</v>
      </c>
      <c r="O3143" s="4" t="s">
        <v>56</v>
      </c>
      <c r="P3143" s="4" t="s">
        <v>57</v>
      </c>
      <c r="Q3143" s="11">
        <v>0</v>
      </c>
      <c r="R3143" s="4"/>
      <c r="S3143" s="12"/>
    </row>
    <row r="3144" spans="1:19" x14ac:dyDescent="0.25">
      <c r="A3144" s="9" t="s">
        <v>1117</v>
      </c>
      <c r="B3144" s="9" t="s">
        <v>291</v>
      </c>
      <c r="C3144" s="4">
        <v>201000584</v>
      </c>
      <c r="D3144" s="4" t="s">
        <v>1438</v>
      </c>
      <c r="E3144" s="4" t="str">
        <f>"010712010"</f>
        <v>010712010</v>
      </c>
      <c r="F3144" s="10">
        <v>40127</v>
      </c>
      <c r="G3144" s="11">
        <v>367.13</v>
      </c>
      <c r="H3144" s="11">
        <v>0</v>
      </c>
      <c r="I3144" s="4"/>
      <c r="J3144" s="4"/>
      <c r="K3144" s="11">
        <v>0</v>
      </c>
      <c r="L3144" s="4"/>
      <c r="M3144" s="4"/>
      <c r="N3144" s="11">
        <v>367.13</v>
      </c>
      <c r="O3144" s="4" t="s">
        <v>56</v>
      </c>
      <c r="P3144" s="4" t="s">
        <v>57</v>
      </c>
      <c r="Q3144" s="11">
        <v>0</v>
      </c>
      <c r="R3144" s="4"/>
      <c r="S3144" s="12"/>
    </row>
    <row r="3145" spans="1:19" x14ac:dyDescent="0.25">
      <c r="A3145" s="9" t="s">
        <v>1117</v>
      </c>
      <c r="B3145" s="9" t="s">
        <v>291</v>
      </c>
      <c r="C3145" s="4">
        <v>201001508</v>
      </c>
      <c r="D3145" s="4" t="s">
        <v>1315</v>
      </c>
      <c r="E3145" s="4" t="str">
        <f>"029022010"</f>
        <v>029022010</v>
      </c>
      <c r="F3145" s="10">
        <v>40190</v>
      </c>
      <c r="G3145" s="11">
        <v>876.2</v>
      </c>
      <c r="H3145" s="11">
        <v>0</v>
      </c>
      <c r="I3145" s="4"/>
      <c r="J3145" s="4"/>
      <c r="K3145" s="11">
        <v>0</v>
      </c>
      <c r="L3145" s="4"/>
      <c r="M3145" s="4"/>
      <c r="N3145" s="11">
        <v>876.2</v>
      </c>
      <c r="O3145" s="4" t="s">
        <v>56</v>
      </c>
      <c r="P3145" s="4" t="s">
        <v>57</v>
      </c>
      <c r="Q3145" s="11">
        <v>0</v>
      </c>
      <c r="R3145" s="4"/>
      <c r="S3145" s="12"/>
    </row>
    <row r="3146" spans="1:19" x14ac:dyDescent="0.25">
      <c r="A3146" s="9" t="s">
        <v>1117</v>
      </c>
      <c r="B3146" s="9" t="s">
        <v>291</v>
      </c>
      <c r="C3146" s="4">
        <v>201001602</v>
      </c>
      <c r="D3146" s="4" t="s">
        <v>2518</v>
      </c>
      <c r="E3146" s="4" t="str">
        <f>"030982010"</f>
        <v>030982010</v>
      </c>
      <c r="F3146" s="10">
        <v>40197</v>
      </c>
      <c r="G3146" s="11">
        <v>74.16</v>
      </c>
      <c r="H3146" s="11">
        <v>0</v>
      </c>
      <c r="I3146" s="4"/>
      <c r="J3146" s="4"/>
      <c r="K3146" s="11">
        <v>0</v>
      </c>
      <c r="L3146" s="4"/>
      <c r="M3146" s="4"/>
      <c r="N3146" s="11">
        <v>74.16</v>
      </c>
      <c r="O3146" s="4" t="s">
        <v>56</v>
      </c>
      <c r="P3146" s="4" t="s">
        <v>57</v>
      </c>
      <c r="Q3146" s="11">
        <v>0</v>
      </c>
      <c r="R3146" s="4"/>
      <c r="S3146" s="12"/>
    </row>
    <row r="3147" spans="1:19" x14ac:dyDescent="0.25">
      <c r="A3147" s="9" t="s">
        <v>1117</v>
      </c>
      <c r="B3147" s="9" t="s">
        <v>291</v>
      </c>
      <c r="C3147" s="4">
        <v>201003111</v>
      </c>
      <c r="D3147" s="4"/>
      <c r="E3147" s="4" t="str">
        <f>"064552010"</f>
        <v>064552010</v>
      </c>
      <c r="F3147" s="10">
        <v>40302</v>
      </c>
      <c r="G3147" s="11">
        <v>350</v>
      </c>
      <c r="H3147" s="11">
        <v>0</v>
      </c>
      <c r="I3147" s="4"/>
      <c r="J3147" s="4"/>
      <c r="K3147" s="11">
        <v>0</v>
      </c>
      <c r="L3147" s="4"/>
      <c r="M3147" s="4"/>
      <c r="N3147" s="11">
        <v>350</v>
      </c>
      <c r="O3147" s="4" t="s">
        <v>56</v>
      </c>
      <c r="P3147" s="4" t="s">
        <v>57</v>
      </c>
      <c r="Q3147" s="11">
        <v>0</v>
      </c>
      <c r="R3147" s="4"/>
      <c r="S3147" s="12"/>
    </row>
    <row r="3148" spans="1:19" x14ac:dyDescent="0.25">
      <c r="A3148" s="9" t="s">
        <v>1117</v>
      </c>
      <c r="B3148" s="9" t="s">
        <v>291</v>
      </c>
      <c r="C3148" s="4">
        <v>201003113</v>
      </c>
      <c r="D3148" s="4"/>
      <c r="E3148" s="4" t="str">
        <f>"064782010"</f>
        <v>064782010</v>
      </c>
      <c r="F3148" s="10">
        <v>40302</v>
      </c>
      <c r="G3148" s="11">
        <v>350</v>
      </c>
      <c r="H3148" s="11">
        <v>0</v>
      </c>
      <c r="I3148" s="4"/>
      <c r="J3148" s="4"/>
      <c r="K3148" s="11">
        <v>0</v>
      </c>
      <c r="L3148" s="4"/>
      <c r="M3148" s="4"/>
      <c r="N3148" s="11">
        <v>350</v>
      </c>
      <c r="O3148" s="4" t="s">
        <v>56</v>
      </c>
      <c r="P3148" s="4" t="s">
        <v>57</v>
      </c>
      <c r="Q3148" s="11">
        <v>0</v>
      </c>
      <c r="R3148" s="4"/>
      <c r="S3148" s="12"/>
    </row>
    <row r="3149" spans="1:19" x14ac:dyDescent="0.25">
      <c r="A3149" s="9" t="s">
        <v>1117</v>
      </c>
      <c r="B3149" s="9" t="s">
        <v>291</v>
      </c>
      <c r="C3149" s="4">
        <v>201003169</v>
      </c>
      <c r="D3149" s="4" t="s">
        <v>1177</v>
      </c>
      <c r="E3149" s="4" t="str">
        <f>"063162010"</f>
        <v>063162010</v>
      </c>
      <c r="F3149" s="10">
        <v>40296</v>
      </c>
      <c r="G3149" s="11">
        <v>22.1</v>
      </c>
      <c r="H3149" s="11">
        <v>0</v>
      </c>
      <c r="I3149" s="4"/>
      <c r="J3149" s="4"/>
      <c r="K3149" s="11">
        <v>0</v>
      </c>
      <c r="L3149" s="4"/>
      <c r="M3149" s="4"/>
      <c r="N3149" s="11">
        <v>22.1</v>
      </c>
      <c r="O3149" s="4" t="s">
        <v>56</v>
      </c>
      <c r="P3149" s="4" t="s">
        <v>57</v>
      </c>
      <c r="Q3149" s="11">
        <v>0</v>
      </c>
      <c r="R3149" s="4"/>
      <c r="S3149" s="12"/>
    </row>
    <row r="3150" spans="1:19" x14ac:dyDescent="0.25">
      <c r="A3150" s="9" t="s">
        <v>1117</v>
      </c>
      <c r="B3150" s="9" t="s">
        <v>291</v>
      </c>
      <c r="C3150" s="4">
        <v>201003943</v>
      </c>
      <c r="D3150" s="4" t="s">
        <v>2519</v>
      </c>
      <c r="E3150" s="4" t="str">
        <f>"081442010"</f>
        <v>081442010</v>
      </c>
      <c r="F3150" s="10">
        <v>40354</v>
      </c>
      <c r="G3150" s="11">
        <v>18500</v>
      </c>
      <c r="H3150" s="11">
        <v>18500</v>
      </c>
      <c r="I3150" s="4" t="s">
        <v>366</v>
      </c>
      <c r="J3150" s="4" t="s">
        <v>367</v>
      </c>
      <c r="K3150" s="11">
        <v>0</v>
      </c>
      <c r="L3150" s="4"/>
      <c r="M3150" s="4"/>
      <c r="N3150" s="11">
        <v>0</v>
      </c>
      <c r="O3150" s="4"/>
      <c r="P3150" s="4"/>
      <c r="Q3150" s="11">
        <v>0</v>
      </c>
      <c r="R3150" s="4"/>
      <c r="S3150" s="12"/>
    </row>
    <row r="3151" spans="1:19" x14ac:dyDescent="0.25">
      <c r="A3151" s="9" t="s">
        <v>1117</v>
      </c>
      <c r="B3151" s="9" t="s">
        <v>291</v>
      </c>
      <c r="C3151" s="4">
        <v>201004072</v>
      </c>
      <c r="D3151" s="4"/>
      <c r="E3151" s="4" t="str">
        <f>"080702010"</f>
        <v>080702010</v>
      </c>
      <c r="F3151" s="10">
        <v>40346</v>
      </c>
      <c r="G3151" s="11">
        <v>376</v>
      </c>
      <c r="H3151" s="11">
        <v>0</v>
      </c>
      <c r="I3151" s="4"/>
      <c r="J3151" s="4"/>
      <c r="K3151" s="11">
        <v>0</v>
      </c>
      <c r="L3151" s="4"/>
      <c r="M3151" s="4"/>
      <c r="N3151" s="11">
        <v>376</v>
      </c>
      <c r="O3151" s="4" t="s">
        <v>56</v>
      </c>
      <c r="P3151" s="4" t="s">
        <v>57</v>
      </c>
      <c r="Q3151" s="11">
        <v>0</v>
      </c>
      <c r="R3151" s="4"/>
      <c r="S3151" s="12"/>
    </row>
    <row r="3152" spans="1:19" x14ac:dyDescent="0.25">
      <c r="A3152" s="9" t="s">
        <v>1117</v>
      </c>
      <c r="B3152" s="9" t="s">
        <v>291</v>
      </c>
      <c r="C3152" s="4">
        <v>201004183</v>
      </c>
      <c r="D3152" s="4" t="s">
        <v>1526</v>
      </c>
      <c r="E3152" s="4" t="str">
        <f>"082812010"</f>
        <v>082812010</v>
      </c>
      <c r="F3152" s="10">
        <v>40347</v>
      </c>
      <c r="G3152" s="11">
        <v>376</v>
      </c>
      <c r="H3152" s="11">
        <v>0</v>
      </c>
      <c r="I3152" s="4"/>
      <c r="J3152" s="4"/>
      <c r="K3152" s="11">
        <v>0</v>
      </c>
      <c r="L3152" s="4"/>
      <c r="M3152" s="4"/>
      <c r="N3152" s="11">
        <v>376</v>
      </c>
      <c r="O3152" s="4" t="s">
        <v>56</v>
      </c>
      <c r="P3152" s="4" t="s">
        <v>57</v>
      </c>
      <c r="Q3152" s="11">
        <v>0</v>
      </c>
      <c r="R3152" s="4"/>
      <c r="S3152" s="12"/>
    </row>
    <row r="3153" spans="1:19" x14ac:dyDescent="0.25">
      <c r="A3153" s="9" t="s">
        <v>1117</v>
      </c>
      <c r="B3153" s="9" t="s">
        <v>291</v>
      </c>
      <c r="C3153" s="4">
        <v>201004754</v>
      </c>
      <c r="D3153" s="4" t="s">
        <v>1177</v>
      </c>
      <c r="E3153" s="4" t="str">
        <f>"095422010"</f>
        <v>095422010</v>
      </c>
      <c r="F3153" s="10">
        <v>40388</v>
      </c>
      <c r="G3153" s="11">
        <v>8</v>
      </c>
      <c r="H3153" s="11">
        <v>0</v>
      </c>
      <c r="I3153" s="4"/>
      <c r="J3153" s="4"/>
      <c r="K3153" s="11">
        <v>0</v>
      </c>
      <c r="L3153" s="4"/>
      <c r="M3153" s="4"/>
      <c r="N3153" s="11">
        <v>8</v>
      </c>
      <c r="O3153" s="4" t="s">
        <v>56</v>
      </c>
      <c r="P3153" s="4" t="s">
        <v>57</v>
      </c>
      <c r="Q3153" s="11">
        <v>0</v>
      </c>
      <c r="R3153" s="4"/>
      <c r="S3153" s="12"/>
    </row>
    <row r="3154" spans="1:19" x14ac:dyDescent="0.25">
      <c r="A3154" s="9" t="s">
        <v>1117</v>
      </c>
      <c r="B3154" s="9" t="s">
        <v>291</v>
      </c>
      <c r="C3154" s="4">
        <v>201005619</v>
      </c>
      <c r="D3154" s="4" t="s">
        <v>1512</v>
      </c>
      <c r="E3154" s="4" t="str">
        <f>"111832010"</f>
        <v>111832010</v>
      </c>
      <c r="F3154" s="10">
        <v>40443</v>
      </c>
      <c r="G3154" s="11">
        <v>367.18</v>
      </c>
      <c r="H3154" s="11">
        <v>0</v>
      </c>
      <c r="I3154" s="4"/>
      <c r="J3154" s="4"/>
      <c r="K3154" s="11">
        <v>0</v>
      </c>
      <c r="L3154" s="4"/>
      <c r="M3154" s="4"/>
      <c r="N3154" s="11">
        <v>367.18</v>
      </c>
      <c r="O3154" s="4" t="s">
        <v>56</v>
      </c>
      <c r="P3154" s="4" t="s">
        <v>57</v>
      </c>
      <c r="Q3154" s="11">
        <v>0</v>
      </c>
      <c r="R3154" s="4"/>
      <c r="S3154" s="12"/>
    </row>
    <row r="3155" spans="1:19" x14ac:dyDescent="0.25">
      <c r="A3155" s="9" t="s">
        <v>1676</v>
      </c>
      <c r="B3155" s="9" t="s">
        <v>552</v>
      </c>
      <c r="C3155" s="4">
        <v>201004947</v>
      </c>
      <c r="D3155" s="4"/>
      <c r="E3155" s="4" t="str">
        <f>"103552010"</f>
        <v>103552010</v>
      </c>
      <c r="F3155" s="10">
        <v>40410</v>
      </c>
      <c r="G3155" s="11">
        <v>4606.22</v>
      </c>
      <c r="H3155" s="11">
        <v>4606.22</v>
      </c>
      <c r="I3155" s="4" t="s">
        <v>366</v>
      </c>
      <c r="J3155" s="4" t="s">
        <v>367</v>
      </c>
      <c r="K3155" s="11">
        <v>0</v>
      </c>
      <c r="L3155" s="4"/>
      <c r="M3155" s="4"/>
      <c r="N3155" s="11">
        <v>0</v>
      </c>
      <c r="O3155" s="4"/>
      <c r="P3155" s="4"/>
      <c r="Q3155" s="11">
        <v>0</v>
      </c>
      <c r="R3155" s="4"/>
      <c r="S3155" s="12"/>
    </row>
    <row r="3156" spans="1:19" x14ac:dyDescent="0.25">
      <c r="A3156" s="9" t="s">
        <v>1681</v>
      </c>
      <c r="B3156" s="9" t="s">
        <v>291</v>
      </c>
      <c r="C3156" s="4">
        <v>201000577</v>
      </c>
      <c r="D3156" s="4" t="s">
        <v>2520</v>
      </c>
      <c r="E3156" s="4" t="str">
        <f>"010832010"</f>
        <v>010832010</v>
      </c>
      <c r="F3156" s="10">
        <v>40127</v>
      </c>
      <c r="G3156" s="11">
        <v>36000</v>
      </c>
      <c r="H3156" s="11">
        <v>36000</v>
      </c>
      <c r="I3156" s="4" t="s">
        <v>23</v>
      </c>
      <c r="J3156" s="4" t="s">
        <v>24</v>
      </c>
      <c r="K3156" s="11">
        <v>0</v>
      </c>
      <c r="L3156" s="4"/>
      <c r="M3156" s="4"/>
      <c r="N3156" s="11">
        <v>0</v>
      </c>
      <c r="O3156" s="4"/>
      <c r="P3156" s="4"/>
      <c r="Q3156" s="11">
        <v>0</v>
      </c>
      <c r="R3156" s="4"/>
      <c r="S3156" s="12"/>
    </row>
    <row r="3157" spans="1:19" x14ac:dyDescent="0.25">
      <c r="A3157" s="9" t="s">
        <v>2521</v>
      </c>
      <c r="B3157" s="9" t="s">
        <v>2521</v>
      </c>
      <c r="C3157" s="4">
        <v>201000192</v>
      </c>
      <c r="D3157" s="4"/>
      <c r="E3157" s="4" t="str">
        <f>"003382010"</f>
        <v>003382010</v>
      </c>
      <c r="F3157" s="10">
        <v>40101</v>
      </c>
      <c r="G3157" s="11">
        <v>4583.03</v>
      </c>
      <c r="H3157" s="11">
        <v>4583.03</v>
      </c>
      <c r="I3157" s="4" t="s">
        <v>366</v>
      </c>
      <c r="J3157" s="4" t="s">
        <v>367</v>
      </c>
      <c r="K3157" s="11">
        <v>0</v>
      </c>
      <c r="L3157" s="4"/>
      <c r="M3157" s="4"/>
      <c r="N3157" s="11">
        <v>0</v>
      </c>
      <c r="O3157" s="4"/>
      <c r="P3157" s="4"/>
      <c r="Q3157" s="11">
        <v>0</v>
      </c>
      <c r="R3157" s="4"/>
      <c r="S3157" s="12"/>
    </row>
    <row r="3158" spans="1:19" x14ac:dyDescent="0.25">
      <c r="A3158" s="9" t="s">
        <v>2522</v>
      </c>
      <c r="B3158" s="9" t="s">
        <v>2522</v>
      </c>
      <c r="C3158" s="4">
        <v>201003686</v>
      </c>
      <c r="D3158" s="4"/>
      <c r="E3158" s="4" t="str">
        <f>"077262010"</f>
        <v>077262010</v>
      </c>
      <c r="F3158" s="10">
        <v>40338</v>
      </c>
      <c r="G3158" s="11">
        <v>20000</v>
      </c>
      <c r="H3158" s="11">
        <v>20000</v>
      </c>
      <c r="I3158" s="4" t="s">
        <v>366</v>
      </c>
      <c r="J3158" s="4" t="s">
        <v>367</v>
      </c>
      <c r="K3158" s="11">
        <v>0</v>
      </c>
      <c r="L3158" s="4"/>
      <c r="M3158" s="4"/>
      <c r="N3158" s="11">
        <v>0</v>
      </c>
      <c r="O3158" s="4"/>
      <c r="P3158" s="4"/>
      <c r="Q3158" s="11">
        <v>0</v>
      </c>
      <c r="R3158" s="4"/>
      <c r="S3158" s="12"/>
    </row>
    <row r="3159" spans="1:19" x14ac:dyDescent="0.25">
      <c r="A3159" s="9" t="s">
        <v>2522</v>
      </c>
      <c r="B3159" s="9" t="s">
        <v>2522</v>
      </c>
      <c r="C3159" s="4">
        <v>201004706</v>
      </c>
      <c r="D3159" s="4"/>
      <c r="E3159" s="4" t="str">
        <f>"093722010"</f>
        <v>093722010</v>
      </c>
      <c r="F3159" s="10">
        <v>40375</v>
      </c>
      <c r="G3159" s="11">
        <v>6714.55</v>
      </c>
      <c r="H3159" s="11">
        <v>6714.55</v>
      </c>
      <c r="I3159" s="4" t="s">
        <v>366</v>
      </c>
      <c r="J3159" s="4" t="s">
        <v>367</v>
      </c>
      <c r="K3159" s="11">
        <v>0</v>
      </c>
      <c r="L3159" s="4"/>
      <c r="M3159" s="4"/>
      <c r="N3159" s="11">
        <v>0</v>
      </c>
      <c r="O3159" s="4"/>
      <c r="P3159" s="4"/>
      <c r="Q3159" s="11">
        <v>0</v>
      </c>
      <c r="R3159" s="4"/>
      <c r="S3159" s="12"/>
    </row>
    <row r="3160" spans="1:19" x14ac:dyDescent="0.25">
      <c r="A3160" s="9" t="s">
        <v>2522</v>
      </c>
      <c r="B3160" s="9" t="s">
        <v>2522</v>
      </c>
      <c r="C3160" s="4">
        <v>201004839</v>
      </c>
      <c r="D3160" s="4" t="s">
        <v>2523</v>
      </c>
      <c r="E3160" s="4" t="str">
        <f>"109292010"</f>
        <v>109292010</v>
      </c>
      <c r="F3160" s="10">
        <v>40430</v>
      </c>
      <c r="G3160" s="11">
        <v>14000</v>
      </c>
      <c r="H3160" s="11">
        <v>14000</v>
      </c>
      <c r="I3160" s="4" t="s">
        <v>366</v>
      </c>
      <c r="J3160" s="4" t="s">
        <v>367</v>
      </c>
      <c r="K3160" s="11">
        <v>0</v>
      </c>
      <c r="L3160" s="4"/>
      <c r="M3160" s="4"/>
      <c r="N3160" s="11">
        <v>0</v>
      </c>
      <c r="O3160" s="4"/>
      <c r="P3160" s="4"/>
      <c r="Q3160" s="11">
        <v>0</v>
      </c>
      <c r="R3160" s="4"/>
      <c r="S3160" s="12"/>
    </row>
    <row r="3161" spans="1:19" x14ac:dyDescent="0.25">
      <c r="A3161" s="9" t="s">
        <v>1686</v>
      </c>
      <c r="B3161" s="9" t="s">
        <v>1686</v>
      </c>
      <c r="C3161" s="4">
        <v>201002701</v>
      </c>
      <c r="D3161" s="4" t="s">
        <v>2524</v>
      </c>
      <c r="E3161" s="4" t="str">
        <f>"054462010"</f>
        <v>054462010</v>
      </c>
      <c r="F3161" s="10">
        <v>40270</v>
      </c>
      <c r="G3161" s="11">
        <v>82500</v>
      </c>
      <c r="H3161" s="11">
        <v>82500</v>
      </c>
      <c r="I3161" s="4" t="s">
        <v>366</v>
      </c>
      <c r="J3161" s="4" t="s">
        <v>367</v>
      </c>
      <c r="K3161" s="11">
        <v>0</v>
      </c>
      <c r="L3161" s="4"/>
      <c r="M3161" s="4"/>
      <c r="N3161" s="11">
        <v>0</v>
      </c>
      <c r="O3161" s="4"/>
      <c r="P3161" s="4"/>
      <c r="Q3161" s="11">
        <v>0</v>
      </c>
      <c r="R3161" s="4"/>
      <c r="S3161" s="12"/>
    </row>
    <row r="3162" spans="1:19" x14ac:dyDescent="0.25">
      <c r="A3162" s="9" t="s">
        <v>1698</v>
      </c>
      <c r="B3162" s="9" t="s">
        <v>1698</v>
      </c>
      <c r="C3162" s="4">
        <v>201000101</v>
      </c>
      <c r="D3162" s="4"/>
      <c r="E3162" s="4" t="str">
        <f>"001542010"</f>
        <v>001542010</v>
      </c>
      <c r="F3162" s="10">
        <v>40094</v>
      </c>
      <c r="G3162" s="11">
        <v>8202.66</v>
      </c>
      <c r="H3162" s="11">
        <v>8202.66</v>
      </c>
      <c r="I3162" s="4" t="s">
        <v>54</v>
      </c>
      <c r="J3162" s="4" t="s">
        <v>55</v>
      </c>
      <c r="K3162" s="11">
        <v>0</v>
      </c>
      <c r="L3162" s="4"/>
      <c r="M3162" s="4"/>
      <c r="N3162" s="11">
        <v>0</v>
      </c>
      <c r="O3162" s="4"/>
      <c r="P3162" s="4"/>
      <c r="Q3162" s="11">
        <v>0</v>
      </c>
      <c r="R3162" s="4"/>
      <c r="S3162" s="12"/>
    </row>
    <row r="3163" spans="1:19" x14ac:dyDescent="0.25">
      <c r="A3163" s="9" t="s">
        <v>1698</v>
      </c>
      <c r="B3163" s="9" t="s">
        <v>1698</v>
      </c>
      <c r="C3163" s="4">
        <v>201000113</v>
      </c>
      <c r="D3163" s="4" t="s">
        <v>2525</v>
      </c>
      <c r="E3163" s="4" t="str">
        <f>"001682010"</f>
        <v>001682010</v>
      </c>
      <c r="F3163" s="10">
        <v>40094</v>
      </c>
      <c r="G3163" s="11">
        <v>66121.64</v>
      </c>
      <c r="H3163" s="11">
        <v>66121.64</v>
      </c>
      <c r="I3163" s="4" t="s">
        <v>54</v>
      </c>
      <c r="J3163" s="4" t="s">
        <v>55</v>
      </c>
      <c r="K3163" s="11">
        <v>0</v>
      </c>
      <c r="L3163" s="4"/>
      <c r="M3163" s="4"/>
      <c r="N3163" s="11">
        <v>0</v>
      </c>
      <c r="O3163" s="4"/>
      <c r="P3163" s="4"/>
      <c r="Q3163" s="11">
        <v>0</v>
      </c>
      <c r="R3163" s="4"/>
      <c r="S3163" s="12"/>
    </row>
    <row r="3164" spans="1:19" x14ac:dyDescent="0.25">
      <c r="A3164" s="9" t="s">
        <v>1698</v>
      </c>
      <c r="B3164" s="9" t="s">
        <v>485</v>
      </c>
      <c r="C3164" s="4">
        <v>201000235</v>
      </c>
      <c r="D3164" s="4"/>
      <c r="E3164" s="4" t="str">
        <f>"004972010"</f>
        <v>004972010</v>
      </c>
      <c r="F3164" s="10">
        <v>40109</v>
      </c>
      <c r="G3164" s="11">
        <v>10993.05</v>
      </c>
      <c r="H3164" s="11">
        <v>10993.05</v>
      </c>
      <c r="I3164" s="4" t="s">
        <v>366</v>
      </c>
      <c r="J3164" s="4" t="s">
        <v>367</v>
      </c>
      <c r="K3164" s="11">
        <v>0</v>
      </c>
      <c r="L3164" s="4"/>
      <c r="M3164" s="4"/>
      <c r="N3164" s="11">
        <v>0</v>
      </c>
      <c r="O3164" s="4"/>
      <c r="P3164" s="4"/>
      <c r="Q3164" s="11">
        <v>0</v>
      </c>
      <c r="R3164" s="4"/>
      <c r="S3164" s="12"/>
    </row>
    <row r="3165" spans="1:19" x14ac:dyDescent="0.25">
      <c r="A3165" s="9" t="s">
        <v>1698</v>
      </c>
      <c r="B3165" s="9" t="s">
        <v>485</v>
      </c>
      <c r="C3165" s="4">
        <v>201001024</v>
      </c>
      <c r="D3165" s="4"/>
      <c r="E3165" s="4" t="str">
        <f>"021122010"</f>
        <v>021122010</v>
      </c>
      <c r="F3165" s="10">
        <v>40158</v>
      </c>
      <c r="G3165" s="11">
        <v>3400.67</v>
      </c>
      <c r="H3165" s="11">
        <v>3400.67</v>
      </c>
      <c r="I3165" s="4" t="s">
        <v>366</v>
      </c>
      <c r="J3165" s="4" t="s">
        <v>367</v>
      </c>
      <c r="K3165" s="11">
        <v>0</v>
      </c>
      <c r="L3165" s="4"/>
      <c r="M3165" s="4"/>
      <c r="N3165" s="11">
        <v>0</v>
      </c>
      <c r="O3165" s="4"/>
      <c r="P3165" s="4"/>
      <c r="Q3165" s="11">
        <v>0</v>
      </c>
      <c r="R3165" s="4"/>
      <c r="S3165" s="12"/>
    </row>
    <row r="3166" spans="1:19" x14ac:dyDescent="0.25">
      <c r="A3166" s="9" t="s">
        <v>1698</v>
      </c>
      <c r="B3166" s="9" t="s">
        <v>1698</v>
      </c>
      <c r="C3166" s="4">
        <v>201001649</v>
      </c>
      <c r="D3166" s="4"/>
      <c r="E3166" s="4" t="str">
        <f>"031902010"</f>
        <v>031902010</v>
      </c>
      <c r="F3166" s="10">
        <v>40198</v>
      </c>
      <c r="G3166" s="11">
        <v>22000</v>
      </c>
      <c r="H3166" s="11">
        <v>22000</v>
      </c>
      <c r="I3166" s="4" t="s">
        <v>366</v>
      </c>
      <c r="J3166" s="4" t="s">
        <v>367</v>
      </c>
      <c r="K3166" s="11">
        <v>0</v>
      </c>
      <c r="L3166" s="4"/>
      <c r="M3166" s="4"/>
      <c r="N3166" s="11">
        <v>0</v>
      </c>
      <c r="O3166" s="4"/>
      <c r="P3166" s="4"/>
      <c r="Q3166" s="11">
        <v>0</v>
      </c>
      <c r="R3166" s="4"/>
      <c r="S3166" s="12"/>
    </row>
    <row r="3167" spans="1:19" x14ac:dyDescent="0.25">
      <c r="A3167" s="9" t="s">
        <v>1698</v>
      </c>
      <c r="B3167" s="9" t="s">
        <v>1698</v>
      </c>
      <c r="C3167" s="4">
        <v>201001775</v>
      </c>
      <c r="D3167" s="4"/>
      <c r="E3167" s="4" t="str">
        <f>"035042010"</f>
        <v>035042010</v>
      </c>
      <c r="F3167" s="10">
        <v>40212</v>
      </c>
      <c r="G3167" s="11">
        <v>2951.38</v>
      </c>
      <c r="H3167" s="11">
        <v>2951.38</v>
      </c>
      <c r="I3167" s="4" t="s">
        <v>366</v>
      </c>
      <c r="J3167" s="4" t="s">
        <v>367</v>
      </c>
      <c r="K3167" s="11">
        <v>0</v>
      </c>
      <c r="L3167" s="4"/>
      <c r="M3167" s="4"/>
      <c r="N3167" s="11">
        <v>0</v>
      </c>
      <c r="O3167" s="4"/>
      <c r="P3167" s="4"/>
      <c r="Q3167" s="11">
        <v>0</v>
      </c>
      <c r="R3167" s="4"/>
      <c r="S3167" s="12"/>
    </row>
    <row r="3168" spans="1:19" x14ac:dyDescent="0.25">
      <c r="A3168" s="9" t="s">
        <v>1698</v>
      </c>
      <c r="B3168" s="9" t="s">
        <v>1698</v>
      </c>
      <c r="C3168" s="4">
        <v>201001785</v>
      </c>
      <c r="D3168" s="4" t="s">
        <v>2534</v>
      </c>
      <c r="E3168" s="4" t="str">
        <f>"036642010"</f>
        <v>036642010</v>
      </c>
      <c r="F3168" s="10">
        <v>40213</v>
      </c>
      <c r="G3168" s="11">
        <v>2000</v>
      </c>
      <c r="H3168" s="11">
        <v>0</v>
      </c>
      <c r="I3168" s="4"/>
      <c r="J3168" s="4"/>
      <c r="K3168" s="11">
        <v>2000</v>
      </c>
      <c r="L3168" s="4" t="s">
        <v>366</v>
      </c>
      <c r="M3168" s="4" t="s">
        <v>367</v>
      </c>
      <c r="N3168" s="11">
        <v>0</v>
      </c>
      <c r="O3168" s="4"/>
      <c r="P3168" s="4"/>
      <c r="Q3168" s="11">
        <v>0</v>
      </c>
      <c r="R3168" s="4"/>
      <c r="S3168" s="12"/>
    </row>
    <row r="3169" spans="1:19" x14ac:dyDescent="0.25">
      <c r="A3169" s="9" t="s">
        <v>1698</v>
      </c>
      <c r="B3169" s="9" t="s">
        <v>1698</v>
      </c>
      <c r="C3169" s="4">
        <v>201001785</v>
      </c>
      <c r="D3169" s="4" t="s">
        <v>2526</v>
      </c>
      <c r="E3169" s="4" t="str">
        <f>"036662010"</f>
        <v>036662010</v>
      </c>
      <c r="F3169" s="10">
        <v>40213</v>
      </c>
      <c r="G3169" s="11">
        <v>7000</v>
      </c>
      <c r="H3169" s="11">
        <v>7000</v>
      </c>
      <c r="I3169" s="4" t="s">
        <v>366</v>
      </c>
      <c r="J3169" s="4" t="s">
        <v>367</v>
      </c>
      <c r="K3169" s="11">
        <v>0</v>
      </c>
      <c r="L3169" s="4"/>
      <c r="M3169" s="4"/>
      <c r="N3169" s="11">
        <v>0</v>
      </c>
      <c r="O3169" s="4"/>
      <c r="P3169" s="4"/>
      <c r="Q3169" s="11">
        <v>0</v>
      </c>
      <c r="R3169" s="4"/>
      <c r="S3169" s="12"/>
    </row>
    <row r="3170" spans="1:19" x14ac:dyDescent="0.25">
      <c r="A3170" s="9" t="s">
        <v>1698</v>
      </c>
      <c r="B3170" s="9" t="s">
        <v>1698</v>
      </c>
      <c r="C3170" s="4">
        <v>201002302</v>
      </c>
      <c r="D3170" s="4"/>
      <c r="E3170" s="4" t="str">
        <f>"045042010"</f>
        <v>045042010</v>
      </c>
      <c r="F3170" s="10">
        <v>40246</v>
      </c>
      <c r="G3170" s="11">
        <v>3525.25</v>
      </c>
      <c r="H3170" s="11">
        <v>3525.25</v>
      </c>
      <c r="I3170" s="4" t="s">
        <v>366</v>
      </c>
      <c r="J3170" s="4" t="s">
        <v>367</v>
      </c>
      <c r="K3170" s="11">
        <v>0</v>
      </c>
      <c r="L3170" s="4"/>
      <c r="M3170" s="4"/>
      <c r="N3170" s="11">
        <v>0</v>
      </c>
      <c r="O3170" s="4"/>
      <c r="P3170" s="4"/>
      <c r="Q3170" s="11">
        <v>0</v>
      </c>
      <c r="R3170" s="4"/>
      <c r="S3170" s="12"/>
    </row>
    <row r="3171" spans="1:19" x14ac:dyDescent="0.25">
      <c r="A3171" s="9" t="s">
        <v>1698</v>
      </c>
      <c r="B3171" s="9" t="s">
        <v>1698</v>
      </c>
      <c r="C3171" s="4">
        <v>201002920</v>
      </c>
      <c r="D3171" s="4"/>
      <c r="E3171" s="4" t="str">
        <f>"057872010"</f>
        <v>057872010</v>
      </c>
      <c r="F3171" s="10">
        <v>40283</v>
      </c>
      <c r="G3171" s="11">
        <v>4491.6099999999997</v>
      </c>
      <c r="H3171" s="11">
        <v>4491.6099999999997</v>
      </c>
      <c r="I3171" s="4" t="s">
        <v>931</v>
      </c>
      <c r="J3171" s="4" t="s">
        <v>932</v>
      </c>
      <c r="K3171" s="11">
        <v>0</v>
      </c>
      <c r="L3171" s="4"/>
      <c r="M3171" s="4"/>
      <c r="N3171" s="11">
        <v>0</v>
      </c>
      <c r="O3171" s="4"/>
      <c r="P3171" s="4"/>
      <c r="Q3171" s="11">
        <v>0</v>
      </c>
      <c r="R3171" s="4"/>
      <c r="S3171" s="12"/>
    </row>
    <row r="3172" spans="1:19" x14ac:dyDescent="0.25">
      <c r="A3172" s="9" t="s">
        <v>1698</v>
      </c>
      <c r="B3172" s="9" t="s">
        <v>1698</v>
      </c>
      <c r="C3172" s="4">
        <v>201003106</v>
      </c>
      <c r="D3172" s="4"/>
      <c r="E3172" s="4" t="str">
        <f>"064422010"</f>
        <v>064422010</v>
      </c>
      <c r="F3172" s="10">
        <v>40302</v>
      </c>
      <c r="G3172" s="11">
        <v>3075.19</v>
      </c>
      <c r="H3172" s="11">
        <v>3075.19</v>
      </c>
      <c r="I3172" s="4" t="s">
        <v>366</v>
      </c>
      <c r="J3172" s="4" t="s">
        <v>367</v>
      </c>
      <c r="K3172" s="11">
        <v>0</v>
      </c>
      <c r="L3172" s="4"/>
      <c r="M3172" s="4"/>
      <c r="N3172" s="11">
        <v>0</v>
      </c>
      <c r="O3172" s="4"/>
      <c r="P3172" s="4"/>
      <c r="Q3172" s="11">
        <v>0</v>
      </c>
      <c r="R3172" s="4"/>
      <c r="S3172" s="12"/>
    </row>
    <row r="3173" spans="1:19" x14ac:dyDescent="0.25">
      <c r="A3173" s="9" t="s">
        <v>1698</v>
      </c>
      <c r="B3173" s="9" t="s">
        <v>1698</v>
      </c>
      <c r="C3173" s="4">
        <v>201003110</v>
      </c>
      <c r="D3173" s="4" t="s">
        <v>2527</v>
      </c>
      <c r="E3173" s="4" t="str">
        <f>"067942010"</f>
        <v>067942010</v>
      </c>
      <c r="F3173" s="10">
        <v>40310</v>
      </c>
      <c r="G3173" s="11">
        <v>41973</v>
      </c>
      <c r="H3173" s="11">
        <v>41973</v>
      </c>
      <c r="I3173" s="4" t="s">
        <v>366</v>
      </c>
      <c r="J3173" s="4" t="s">
        <v>367</v>
      </c>
      <c r="K3173" s="11">
        <v>0</v>
      </c>
      <c r="L3173" s="4"/>
      <c r="M3173" s="4"/>
      <c r="N3173" s="11">
        <v>0</v>
      </c>
      <c r="O3173" s="4"/>
      <c r="P3173" s="4"/>
      <c r="Q3173" s="11">
        <v>0</v>
      </c>
      <c r="R3173" s="4"/>
      <c r="S3173" s="12"/>
    </row>
    <row r="3174" spans="1:19" x14ac:dyDescent="0.25">
      <c r="A3174" s="9" t="s">
        <v>1698</v>
      </c>
      <c r="B3174" s="9" t="s">
        <v>1698</v>
      </c>
      <c r="C3174" s="4">
        <v>201003212</v>
      </c>
      <c r="D3174" s="4"/>
      <c r="E3174" s="4" t="str">
        <f>"063942010"</f>
        <v>063942010</v>
      </c>
      <c r="F3174" s="10">
        <v>40302</v>
      </c>
      <c r="G3174" s="11">
        <v>4460.2700000000004</v>
      </c>
      <c r="H3174" s="11">
        <v>4460.2700000000004</v>
      </c>
      <c r="I3174" s="4" t="s">
        <v>366</v>
      </c>
      <c r="J3174" s="4" t="s">
        <v>367</v>
      </c>
      <c r="K3174" s="11">
        <v>0</v>
      </c>
      <c r="L3174" s="4"/>
      <c r="M3174" s="4"/>
      <c r="N3174" s="11">
        <v>0</v>
      </c>
      <c r="O3174" s="4"/>
      <c r="P3174" s="4"/>
      <c r="Q3174" s="11">
        <v>0</v>
      </c>
      <c r="R3174" s="4"/>
      <c r="S3174" s="12"/>
    </row>
    <row r="3175" spans="1:19" x14ac:dyDescent="0.25">
      <c r="A3175" s="9" t="s">
        <v>1698</v>
      </c>
      <c r="B3175" s="9" t="s">
        <v>1698</v>
      </c>
      <c r="C3175" s="4">
        <v>201003399</v>
      </c>
      <c r="D3175" s="4"/>
      <c r="E3175" s="4" t="str">
        <f>"067182010"</f>
        <v>067182010</v>
      </c>
      <c r="F3175" s="10">
        <v>40311</v>
      </c>
      <c r="G3175" s="11">
        <v>3946.38</v>
      </c>
      <c r="H3175" s="11">
        <v>3946.38</v>
      </c>
      <c r="I3175" s="4" t="s">
        <v>366</v>
      </c>
      <c r="J3175" s="4" t="s">
        <v>367</v>
      </c>
      <c r="K3175" s="11">
        <v>0</v>
      </c>
      <c r="L3175" s="4"/>
      <c r="M3175" s="4"/>
      <c r="N3175" s="11">
        <v>0</v>
      </c>
      <c r="O3175" s="4"/>
      <c r="P3175" s="4"/>
      <c r="Q3175" s="11">
        <v>0</v>
      </c>
      <c r="R3175" s="4"/>
      <c r="S3175" s="12"/>
    </row>
    <row r="3176" spans="1:19" x14ac:dyDescent="0.25">
      <c r="A3176" s="9" t="s">
        <v>1698</v>
      </c>
      <c r="B3176" s="9" t="s">
        <v>1698</v>
      </c>
      <c r="C3176" s="4">
        <v>201003512</v>
      </c>
      <c r="D3176" s="4" t="s">
        <v>2528</v>
      </c>
      <c r="E3176" s="4" t="str">
        <f>"070932010"</f>
        <v>070932010</v>
      </c>
      <c r="F3176" s="10">
        <v>40319</v>
      </c>
      <c r="G3176" s="11">
        <v>39000</v>
      </c>
      <c r="H3176" s="11">
        <v>39000</v>
      </c>
      <c r="I3176" s="4" t="s">
        <v>366</v>
      </c>
      <c r="J3176" s="4" t="s">
        <v>367</v>
      </c>
      <c r="K3176" s="11">
        <v>0</v>
      </c>
      <c r="L3176" s="4"/>
      <c r="M3176" s="4"/>
      <c r="N3176" s="11">
        <v>0</v>
      </c>
      <c r="O3176" s="4"/>
      <c r="P3176" s="4"/>
      <c r="Q3176" s="11">
        <v>0</v>
      </c>
      <c r="R3176" s="4"/>
      <c r="S3176" s="12"/>
    </row>
    <row r="3177" spans="1:19" x14ac:dyDescent="0.25">
      <c r="A3177" s="9" t="s">
        <v>1698</v>
      </c>
      <c r="B3177" s="9" t="s">
        <v>1698</v>
      </c>
      <c r="C3177" s="4">
        <v>201004780</v>
      </c>
      <c r="D3177" s="4" t="s">
        <v>2529</v>
      </c>
      <c r="E3177" s="4" t="str">
        <f>"096332010"</f>
        <v>096332010</v>
      </c>
      <c r="F3177" s="10">
        <v>40387</v>
      </c>
      <c r="G3177" s="11">
        <v>7097.01</v>
      </c>
      <c r="H3177" s="11">
        <v>7097.01</v>
      </c>
      <c r="I3177" s="4" t="s">
        <v>366</v>
      </c>
      <c r="J3177" s="4" t="s">
        <v>367</v>
      </c>
      <c r="K3177" s="11">
        <v>0</v>
      </c>
      <c r="L3177" s="4"/>
      <c r="M3177" s="4"/>
      <c r="N3177" s="11">
        <v>0</v>
      </c>
      <c r="O3177" s="4"/>
      <c r="P3177" s="4"/>
      <c r="Q3177" s="11">
        <v>0</v>
      </c>
      <c r="R3177" s="4"/>
      <c r="S3177" s="12"/>
    </row>
    <row r="3178" spans="1:19" x14ac:dyDescent="0.25">
      <c r="A3178" s="9" t="s">
        <v>1698</v>
      </c>
      <c r="B3178" s="9" t="s">
        <v>1698</v>
      </c>
      <c r="C3178" s="4">
        <v>201004850</v>
      </c>
      <c r="D3178" s="4" t="s">
        <v>2530</v>
      </c>
      <c r="E3178" s="4" t="str">
        <f>"097692010"</f>
        <v>097692010</v>
      </c>
      <c r="F3178" s="10">
        <v>40394</v>
      </c>
      <c r="G3178" s="11">
        <v>27117.57</v>
      </c>
      <c r="H3178" s="11">
        <v>27117.57</v>
      </c>
      <c r="I3178" s="4" t="s">
        <v>54</v>
      </c>
      <c r="J3178" s="4" t="s">
        <v>55</v>
      </c>
      <c r="K3178" s="11">
        <v>0</v>
      </c>
      <c r="L3178" s="4"/>
      <c r="M3178" s="4"/>
      <c r="N3178" s="11">
        <v>0</v>
      </c>
      <c r="O3178" s="4"/>
      <c r="P3178" s="4"/>
      <c r="Q3178" s="11">
        <v>0</v>
      </c>
      <c r="R3178" s="4"/>
      <c r="S3178" s="12"/>
    </row>
    <row r="3179" spans="1:19" x14ac:dyDescent="0.25">
      <c r="A3179" s="9" t="s">
        <v>1698</v>
      </c>
      <c r="B3179" s="9" t="s">
        <v>1698</v>
      </c>
      <c r="C3179" s="4">
        <v>201004853</v>
      </c>
      <c r="D3179" s="4" t="s">
        <v>2530</v>
      </c>
      <c r="E3179" s="4" t="str">
        <f>"097672010"</f>
        <v>097672010</v>
      </c>
      <c r="F3179" s="10">
        <v>40394</v>
      </c>
      <c r="G3179" s="11">
        <v>25453.18</v>
      </c>
      <c r="H3179" s="11">
        <v>25453.18</v>
      </c>
      <c r="I3179" s="4" t="s">
        <v>54</v>
      </c>
      <c r="J3179" s="4" t="s">
        <v>55</v>
      </c>
      <c r="K3179" s="11">
        <v>0</v>
      </c>
      <c r="L3179" s="4"/>
      <c r="M3179" s="4"/>
      <c r="N3179" s="11">
        <v>0</v>
      </c>
      <c r="O3179" s="4"/>
      <c r="P3179" s="4"/>
      <c r="Q3179" s="11">
        <v>0</v>
      </c>
      <c r="R3179" s="4"/>
      <c r="S3179" s="12"/>
    </row>
    <row r="3180" spans="1:19" x14ac:dyDescent="0.25">
      <c r="A3180" s="9" t="s">
        <v>1698</v>
      </c>
      <c r="B3180" s="9" t="s">
        <v>1698</v>
      </c>
      <c r="C3180" s="4">
        <v>201004862</v>
      </c>
      <c r="D3180" s="4"/>
      <c r="E3180" s="4" t="str">
        <f>"096872010"</f>
        <v>096872010</v>
      </c>
      <c r="F3180" s="10">
        <v>40394</v>
      </c>
      <c r="G3180" s="11">
        <v>4092.5</v>
      </c>
      <c r="H3180" s="11">
        <v>4092.5</v>
      </c>
      <c r="I3180" s="4" t="s">
        <v>366</v>
      </c>
      <c r="J3180" s="4" t="s">
        <v>367</v>
      </c>
      <c r="K3180" s="11">
        <v>0</v>
      </c>
      <c r="L3180" s="4"/>
      <c r="M3180" s="4"/>
      <c r="N3180" s="11">
        <v>0</v>
      </c>
      <c r="O3180" s="4"/>
      <c r="P3180" s="4"/>
      <c r="Q3180" s="11">
        <v>0</v>
      </c>
      <c r="R3180" s="4"/>
      <c r="S3180" s="12"/>
    </row>
    <row r="3181" spans="1:19" x14ac:dyDescent="0.25">
      <c r="A3181" s="9" t="s">
        <v>1698</v>
      </c>
      <c r="B3181" s="9" t="s">
        <v>1698</v>
      </c>
      <c r="C3181" s="4">
        <v>201004966</v>
      </c>
      <c r="D3181" s="4"/>
      <c r="E3181" s="4" t="str">
        <f>"101992010"</f>
        <v>101992010</v>
      </c>
      <c r="F3181" s="10">
        <v>40408</v>
      </c>
      <c r="G3181" s="11">
        <v>3524.77</v>
      </c>
      <c r="H3181" s="11">
        <v>3524.77</v>
      </c>
      <c r="I3181" s="4" t="s">
        <v>54</v>
      </c>
      <c r="J3181" s="4" t="s">
        <v>55</v>
      </c>
      <c r="K3181" s="11">
        <v>0</v>
      </c>
      <c r="L3181" s="4"/>
      <c r="M3181" s="4"/>
      <c r="N3181" s="11">
        <v>0</v>
      </c>
      <c r="O3181" s="4"/>
      <c r="P3181" s="4"/>
      <c r="Q3181" s="11">
        <v>0</v>
      </c>
      <c r="R3181" s="4"/>
      <c r="S3181" s="12"/>
    </row>
    <row r="3182" spans="1:19" x14ac:dyDescent="0.25">
      <c r="A3182" s="9" t="s">
        <v>1698</v>
      </c>
      <c r="B3182" s="9" t="s">
        <v>1698</v>
      </c>
      <c r="C3182" s="4">
        <v>201005079</v>
      </c>
      <c r="D3182" s="4"/>
      <c r="E3182" s="4" t="str">
        <f>"108552010"</f>
        <v>108552010</v>
      </c>
      <c r="F3182" s="10">
        <v>40424</v>
      </c>
      <c r="G3182" s="11">
        <v>3661.12</v>
      </c>
      <c r="H3182" s="11">
        <v>3661.12</v>
      </c>
      <c r="I3182" s="4" t="s">
        <v>366</v>
      </c>
      <c r="J3182" s="4" t="s">
        <v>367</v>
      </c>
      <c r="K3182" s="11">
        <v>0</v>
      </c>
      <c r="L3182" s="4"/>
      <c r="M3182" s="4"/>
      <c r="N3182" s="11">
        <v>0</v>
      </c>
      <c r="O3182" s="4"/>
      <c r="P3182" s="4"/>
      <c r="Q3182" s="11">
        <v>0</v>
      </c>
      <c r="R3182" s="4"/>
      <c r="S3182" s="12"/>
    </row>
    <row r="3183" spans="1:19" x14ac:dyDescent="0.25">
      <c r="A3183" s="9" t="s">
        <v>1698</v>
      </c>
      <c r="B3183" s="9" t="s">
        <v>1698</v>
      </c>
      <c r="C3183" s="4">
        <v>201005301</v>
      </c>
      <c r="D3183" s="4" t="s">
        <v>2531</v>
      </c>
      <c r="E3183" s="4" t="str">
        <f>"115032010"</f>
        <v>115032010</v>
      </c>
      <c r="F3183" s="10">
        <v>40450</v>
      </c>
      <c r="G3183" s="11">
        <v>3004.06</v>
      </c>
      <c r="H3183" s="11">
        <v>3004.06</v>
      </c>
      <c r="I3183" s="4" t="s">
        <v>366</v>
      </c>
      <c r="J3183" s="4" t="s">
        <v>367</v>
      </c>
      <c r="K3183" s="11">
        <v>0</v>
      </c>
      <c r="L3183" s="4"/>
      <c r="M3183" s="4"/>
      <c r="N3183" s="11">
        <v>0</v>
      </c>
      <c r="O3183" s="4"/>
      <c r="P3183" s="4"/>
      <c r="Q3183" s="11">
        <v>0</v>
      </c>
      <c r="R3183" s="4"/>
      <c r="S3183" s="12"/>
    </row>
    <row r="3184" spans="1:19" x14ac:dyDescent="0.25">
      <c r="A3184" s="9" t="s">
        <v>1698</v>
      </c>
      <c r="B3184" s="9" t="s">
        <v>1698</v>
      </c>
      <c r="C3184" s="4">
        <v>201005321</v>
      </c>
      <c r="D3184" s="4"/>
      <c r="E3184" s="4" t="str">
        <f>"111892010"</f>
        <v>111892010</v>
      </c>
      <c r="F3184" s="10">
        <v>40443</v>
      </c>
      <c r="G3184" s="11">
        <v>3803.78</v>
      </c>
      <c r="H3184" s="11">
        <v>3803.78</v>
      </c>
      <c r="I3184" s="4" t="s">
        <v>366</v>
      </c>
      <c r="J3184" s="4" t="s">
        <v>367</v>
      </c>
      <c r="K3184" s="11">
        <v>0</v>
      </c>
      <c r="L3184" s="4"/>
      <c r="M3184" s="4"/>
      <c r="N3184" s="11">
        <v>0</v>
      </c>
      <c r="O3184" s="4"/>
      <c r="P3184" s="4"/>
      <c r="Q3184" s="11">
        <v>0</v>
      </c>
      <c r="R3184" s="4"/>
      <c r="S3184" s="12"/>
    </row>
    <row r="3185" spans="1:19" x14ac:dyDescent="0.25">
      <c r="A3185" s="9" t="s">
        <v>1698</v>
      </c>
      <c r="B3185" s="9" t="s">
        <v>1698</v>
      </c>
      <c r="C3185" s="4">
        <v>201005563</v>
      </c>
      <c r="D3185" s="4"/>
      <c r="E3185" s="4" t="str">
        <f>"111032010"</f>
        <v>111032010</v>
      </c>
      <c r="F3185" s="10">
        <v>40436</v>
      </c>
      <c r="G3185" s="11">
        <v>5230.7700000000004</v>
      </c>
      <c r="H3185" s="11">
        <v>5230.7700000000004</v>
      </c>
      <c r="I3185" s="4" t="s">
        <v>54</v>
      </c>
      <c r="J3185" s="4" t="s">
        <v>55</v>
      </c>
      <c r="K3185" s="11">
        <v>0</v>
      </c>
      <c r="L3185" s="4"/>
      <c r="M3185" s="4"/>
      <c r="N3185" s="11">
        <v>0</v>
      </c>
      <c r="O3185" s="4"/>
      <c r="P3185" s="4"/>
      <c r="Q3185" s="11">
        <v>0</v>
      </c>
      <c r="R3185" s="4"/>
      <c r="S3185" s="12"/>
    </row>
    <row r="3186" spans="1:19" x14ac:dyDescent="0.25">
      <c r="A3186" s="9" t="s">
        <v>2532</v>
      </c>
      <c r="B3186" s="9" t="s">
        <v>2532</v>
      </c>
      <c r="C3186" s="4">
        <v>201000463</v>
      </c>
      <c r="D3186" s="4"/>
      <c r="E3186" s="4" t="str">
        <f>"021172010"</f>
        <v>021172010</v>
      </c>
      <c r="F3186" s="10">
        <v>40158</v>
      </c>
      <c r="G3186" s="11">
        <v>4500</v>
      </c>
      <c r="H3186" s="11">
        <v>4500</v>
      </c>
      <c r="I3186" s="4" t="s">
        <v>366</v>
      </c>
      <c r="J3186" s="4" t="s">
        <v>367</v>
      </c>
      <c r="K3186" s="11">
        <v>0</v>
      </c>
      <c r="L3186" s="4"/>
      <c r="M3186" s="4"/>
      <c r="N3186" s="11">
        <v>0</v>
      </c>
      <c r="O3186" s="4"/>
      <c r="P3186" s="4"/>
      <c r="Q3186" s="11">
        <v>0</v>
      </c>
      <c r="R3186" s="4"/>
      <c r="S3186" s="12"/>
    </row>
    <row r="3187" spans="1:19" x14ac:dyDescent="0.25">
      <c r="A3187" s="9" t="s">
        <v>2532</v>
      </c>
      <c r="B3187" s="9" t="s">
        <v>2532</v>
      </c>
      <c r="C3187" s="4">
        <v>201000999</v>
      </c>
      <c r="D3187" s="4" t="s">
        <v>2533</v>
      </c>
      <c r="E3187" s="4" t="str">
        <f>"019012010"</f>
        <v>019012010</v>
      </c>
      <c r="F3187" s="10">
        <v>40155</v>
      </c>
      <c r="G3187" s="11">
        <v>2879.65</v>
      </c>
      <c r="H3187" s="11">
        <v>2879.65</v>
      </c>
      <c r="I3187" s="4" t="s">
        <v>366</v>
      </c>
      <c r="J3187" s="4" t="s">
        <v>367</v>
      </c>
      <c r="K3187" s="11">
        <v>0</v>
      </c>
      <c r="L3187" s="4"/>
      <c r="M3187" s="4"/>
      <c r="N3187" s="11">
        <v>0</v>
      </c>
      <c r="O3187" s="4"/>
      <c r="P3187" s="4"/>
      <c r="Q3187" s="11">
        <v>0</v>
      </c>
      <c r="R3187" s="4"/>
      <c r="S3187" s="12"/>
    </row>
    <row r="3188" spans="1:19" x14ac:dyDescent="0.25">
      <c r="A3188" s="9" t="s">
        <v>2532</v>
      </c>
      <c r="B3188" s="9" t="s">
        <v>256</v>
      </c>
      <c r="C3188" s="4">
        <v>201003383</v>
      </c>
      <c r="D3188" s="4"/>
      <c r="E3188" s="4" t="str">
        <f>"066962010"</f>
        <v>066962010</v>
      </c>
      <c r="F3188" s="10">
        <v>40310</v>
      </c>
      <c r="G3188" s="11">
        <v>4357.3999999999996</v>
      </c>
      <c r="H3188" s="11">
        <v>4357.3999999999996</v>
      </c>
      <c r="I3188" s="4" t="s">
        <v>366</v>
      </c>
      <c r="J3188" s="4" t="s">
        <v>367</v>
      </c>
      <c r="K3188" s="11">
        <v>0</v>
      </c>
      <c r="L3188" s="4"/>
      <c r="M3188" s="4"/>
      <c r="N3188" s="11">
        <v>0</v>
      </c>
      <c r="O3188" s="4"/>
      <c r="P3188" s="4"/>
      <c r="Q3188" s="11">
        <v>0</v>
      </c>
      <c r="R3188" s="4"/>
      <c r="S3188" s="12"/>
    </row>
    <row r="3189" spans="1:19" x14ac:dyDescent="0.25">
      <c r="A3189" s="13" t="s">
        <v>2532</v>
      </c>
      <c r="B3189" s="13" t="s">
        <v>2532</v>
      </c>
      <c r="C3189" s="14">
        <v>201004609</v>
      </c>
      <c r="D3189" s="14"/>
      <c r="E3189" s="14" t="str">
        <f>"107472010"</f>
        <v>107472010</v>
      </c>
      <c r="F3189" s="15">
        <v>40423</v>
      </c>
      <c r="G3189" s="16">
        <v>3145.5</v>
      </c>
      <c r="H3189" s="16">
        <v>3145.5</v>
      </c>
      <c r="I3189" s="14" t="s">
        <v>366</v>
      </c>
      <c r="J3189" s="14" t="s">
        <v>367</v>
      </c>
      <c r="K3189" s="16">
        <v>0</v>
      </c>
      <c r="L3189" s="14"/>
      <c r="M3189" s="14"/>
      <c r="N3189" s="16">
        <v>0</v>
      </c>
      <c r="O3189" s="14"/>
      <c r="P3189" s="14"/>
      <c r="Q3189" s="16">
        <v>0</v>
      </c>
      <c r="R3189" s="14"/>
      <c r="S3189" s="17"/>
    </row>
    <row r="3192" spans="1:19" s="20" customFormat="1" ht="31.5" customHeight="1" x14ac:dyDescent="0.25">
      <c r="A3192" s="21" t="s">
        <v>2535</v>
      </c>
      <c r="B3192" s="21"/>
      <c r="C3192" s="21"/>
      <c r="D3192" s="21"/>
      <c r="E3192" s="21"/>
      <c r="F3192" s="21"/>
      <c r="G3192" s="21"/>
      <c r="H3192" s="21"/>
      <c r="I3192" s="21"/>
      <c r="J3192" s="21"/>
      <c r="K3192" s="21"/>
      <c r="L3192" s="21"/>
      <c r="M3192" s="21"/>
      <c r="N3192" s="21"/>
      <c r="O3192" s="21"/>
      <c r="P3192" s="21"/>
      <c r="Q3192" s="21"/>
      <c r="R3192" s="21"/>
      <c r="S3192" s="21"/>
    </row>
  </sheetData>
  <sortState ref="A6:W3189">
    <sortCondition ref="A6:A3189"/>
    <sortCondition ref="C6:C3189"/>
  </sortState>
  <mergeCells count="1">
    <mergeCell ref="A3192:S319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2010_Litigative</vt:lpstr>
      <vt:lpstr>2010 Administrative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P. Krolikowski</dc:creator>
  <cp:lastModifiedBy>Robert P. Krolikowski </cp:lastModifiedBy>
  <dcterms:created xsi:type="dcterms:W3CDTF">2015-02-02T19:35:52Z</dcterms:created>
  <dcterms:modified xsi:type="dcterms:W3CDTF">2016-05-26T17:23:52Z</dcterms:modified>
</cp:coreProperties>
</file>